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jandra\Desktop\"/>
    </mc:Choice>
  </mc:AlternateContent>
  <bookViews>
    <workbookView xWindow="0" yWindow="0" windowWidth="21600" windowHeight="9735" firstSheet="7" activeTab="9"/>
  </bookViews>
  <sheets>
    <sheet name="201490 IMPRESOS Y SUSCRIPCIONES" sheetId="52" r:id="rId1"/>
    <sheet name="201590 BIENESTAR SOCIAL" sheetId="23" r:id="rId2"/>
    <sheet name="2011190 EQUIPOS PROCE. DATOS" sheetId="1" r:id="rId3"/>
    <sheet name="2011290 MUEBLES Y ENSERES" sheetId="38" r:id="rId4"/>
    <sheet name="2011390 EQUIPOS Y ACC. COMUN." sheetId="2" r:id="rId5"/>
    <sheet name="2011490 EQUIP. Y MAQUI. OFICINA" sheetId="34" r:id="rId6"/>
    <sheet name="2011590 SISTEMA DE SEGURIDAD" sheetId="35" r:id="rId7"/>
    <sheet name="2012190 MATERIALES ELECTRICOS" sheetId="36" r:id="rId8"/>
    <sheet name="2012290 COMBUSTIBLE" sheetId="37" r:id="rId9"/>
    <sheet name="2012390 PAPEL. Y ELEMEN. OFIC." sheetId="39" r:id="rId10"/>
    <sheet name="2012490 CINTAS TONNER CARTUCHO" sheetId="5" r:id="rId11"/>
    <sheet name="2012590 ELEMENTOS DE ASEO" sheetId="40" r:id="rId12"/>
    <sheet name="DOTACIÓN ADTIVA" sheetId="41" r:id="rId13"/>
    <sheet name="2012790 HERRAMIENTAS Y ACCES." sheetId="42" r:id="rId14"/>
    <sheet name="2013190 MANTENIMIENTO GENERAL" sheetId="43" r:id="rId15"/>
    <sheet name="2013290 REPUESTOS VARIOS" sheetId="45" r:id="rId16"/>
    <sheet name="2021090 OTROS GASTOS POR SERVIC" sheetId="53" r:id="rId17"/>
    <sheet name="2021190 GASTOS DESPLAZAMIENTOS " sheetId="54" r:id="rId18"/>
    <sheet name="202390 ARRENDAMIENTOS" sheetId="55" r:id="rId19"/>
    <sheet name="202690 COMUNI Y TRANSPORTE" sheetId="56" r:id="rId20"/>
    <sheet name="202790 SEGUROS" sheetId="57" r:id="rId21"/>
    <sheet name="202890 BIENESTAR SOCIAL" sheetId="58" r:id="rId22"/>
    <sheet name="2021390 VEHICULOS" sheetId="46" r:id="rId23"/>
    <sheet name="2021690 OTROS MANTENIMIENTOS" sheetId="47" r:id="rId24"/>
    <sheet name="2021790 CELADURIA Y ASEO" sheetId="31" r:id="rId25"/>
    <sheet name="2022190 SERVICIOS PUBLICOS" sheetId="59" r:id="rId26"/>
    <sheet name="2022290 INTERNET" sheetId="61" r:id="rId27"/>
    <sheet name="2024190 VIATICOS" sheetId="62" r:id="rId28"/>
    <sheet name="2024290 GASTOS DE VIAJE" sheetId="63" r:id="rId29"/>
    <sheet name="2025190 PUBLICACIONES" sheetId="64" r:id="rId30"/>
    <sheet name="2025290 FOTOCOPIAS" sheetId="65" r:id="rId31"/>
    <sheet name="2025490 IMPRESOS" sheetId="66" r:id="rId32"/>
    <sheet name="301590 EVENTOS ACT. ESTUDIANTIL" sheetId="67" r:id="rId33"/>
    <sheet name="301990 FONDO BIENESTAR SOCIAL" sheetId="68" r:id="rId34"/>
    <sheet name="3012 AREA PROMOCION SOCIOECONOM" sheetId="69" r:id="rId35"/>
    <sheet name="3014 SALUD OCUPACIONAL" sheetId="70" r:id="rId36"/>
    <sheet name="PRACTICAS ACADEMICAS" sheetId="48" r:id="rId37"/>
    <sheet name="OTRAS TRANSFERENCIAS" sheetId="49" r:id="rId38"/>
    <sheet name="111 INVERSIÓN" sheetId="22" r:id="rId39"/>
    <sheet name="2011 INVERSIÓN " sheetId="71" r:id="rId40"/>
    <sheet name="40190 GRANJA EXPERIMENTAL" sheetId="72" r:id="rId41"/>
    <sheet name="Hoja1" sheetId="73" r:id="rId42"/>
    <sheet name="Hoja2" sheetId="74" r:id="rId43"/>
  </sheets>
  <calcPr calcId="152511"/>
</workbook>
</file>

<file path=xl/calcChain.xml><?xml version="1.0" encoding="utf-8"?>
<calcChain xmlns="http://schemas.openxmlformats.org/spreadsheetml/2006/main">
  <c r="G23" i="34" l="1"/>
  <c r="G6" i="65" l="1"/>
  <c r="G6" i="61"/>
  <c r="G5" i="58"/>
  <c r="G5" i="57"/>
  <c r="G6" i="55"/>
  <c r="G5" i="53"/>
  <c r="F243" i="42"/>
  <c r="G44" i="40"/>
  <c r="G40" i="40"/>
  <c r="F15" i="5"/>
  <c r="M16" i="5"/>
  <c r="G9" i="5"/>
  <c r="F58" i="39"/>
  <c r="G4" i="37"/>
  <c r="F6" i="36"/>
  <c r="G6" i="36" s="1"/>
  <c r="G4" i="34"/>
  <c r="F4" i="38"/>
  <c r="G4" i="38" s="1"/>
  <c r="F6" i="1"/>
  <c r="I7" i="72" l="1"/>
  <c r="H6" i="72"/>
  <c r="I6" i="72" s="1"/>
  <c r="I5" i="71"/>
  <c r="G6" i="70" l="1"/>
  <c r="G6" i="69"/>
  <c r="G6" i="68"/>
  <c r="G6" i="67"/>
  <c r="G5" i="66"/>
  <c r="G6" i="64"/>
  <c r="G5" i="63"/>
  <c r="G5" i="62"/>
  <c r="G7" i="56"/>
  <c r="G6" i="56"/>
  <c r="G5" i="54"/>
  <c r="G87" i="5" l="1"/>
  <c r="G86" i="5"/>
  <c r="G85" i="5"/>
  <c r="G84" i="5"/>
  <c r="G83" i="5"/>
  <c r="G82" i="5"/>
  <c r="G81" i="5"/>
  <c r="G80" i="5"/>
  <c r="G79" i="5"/>
  <c r="G78" i="5"/>
  <c r="G77" i="5"/>
  <c r="G76" i="5"/>
  <c r="G75" i="5"/>
  <c r="G74" i="5"/>
  <c r="G73" i="5"/>
  <c r="G72" i="5"/>
  <c r="G71" i="5"/>
  <c r="G70" i="5"/>
  <c r="G69" i="5"/>
  <c r="G68" i="5"/>
  <c r="G67" i="5"/>
  <c r="G66" i="5"/>
  <c r="G65" i="5"/>
  <c r="G64" i="5"/>
  <c r="F21" i="34" l="1"/>
  <c r="F35" i="38"/>
  <c r="F25" i="38"/>
  <c r="F4" i="1"/>
  <c r="F5" i="31" l="1"/>
  <c r="F6" i="31"/>
  <c r="G16" i="47" l="1"/>
  <c r="G15" i="47"/>
  <c r="G14" i="47"/>
  <c r="G13" i="47"/>
  <c r="G12" i="47"/>
  <c r="G10" i="47"/>
  <c r="G9" i="47"/>
  <c r="G8" i="47"/>
  <c r="G7" i="47"/>
  <c r="G6" i="47"/>
  <c r="G5" i="47"/>
  <c r="F11" i="47"/>
  <c r="G11" i="47" s="1"/>
  <c r="G41" i="38"/>
  <c r="G17" i="47" l="1"/>
  <c r="G47" i="40" l="1"/>
  <c r="G46" i="40"/>
  <c r="G45" i="40"/>
  <c r="G43" i="40"/>
  <c r="G42" i="40"/>
  <c r="G39" i="40"/>
  <c r="G33" i="40"/>
  <c r="G29" i="40"/>
  <c r="G22" i="40"/>
  <c r="G21" i="40"/>
  <c r="G20" i="40"/>
  <c r="G19" i="40"/>
  <c r="G18" i="40"/>
  <c r="G17" i="40"/>
  <c r="G16" i="40"/>
  <c r="G15" i="40"/>
  <c r="G14" i="40"/>
  <c r="G13" i="40"/>
  <c r="G12" i="40"/>
  <c r="G11" i="40"/>
  <c r="G10" i="40"/>
  <c r="G9" i="40"/>
  <c r="G8" i="40"/>
  <c r="G7" i="40"/>
  <c r="G6" i="40"/>
  <c r="G5" i="40"/>
  <c r="G4" i="40"/>
  <c r="F20" i="35"/>
  <c r="F19" i="35"/>
  <c r="F18" i="35"/>
  <c r="F17" i="35"/>
  <c r="F13" i="35"/>
  <c r="F12" i="35"/>
  <c r="F11" i="35"/>
  <c r="F10" i="35"/>
  <c r="F9" i="35"/>
  <c r="F8" i="35"/>
  <c r="F7" i="35"/>
  <c r="F6" i="35"/>
  <c r="F5" i="35"/>
  <c r="F4" i="35"/>
  <c r="G16" i="34"/>
  <c r="G8" i="34"/>
  <c r="G44" i="2" l="1"/>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F12" i="2"/>
  <c r="G12" i="2" s="1"/>
  <c r="F11" i="2"/>
  <c r="G11" i="2" s="1"/>
  <c r="F10" i="2"/>
  <c r="G10" i="2" s="1"/>
  <c r="F9" i="2"/>
  <c r="G9" i="2" s="1"/>
  <c r="F8" i="2"/>
  <c r="G8" i="2" s="1"/>
  <c r="F7" i="2"/>
  <c r="G7" i="2" s="1"/>
  <c r="F6" i="2"/>
  <c r="G6" i="2" s="1"/>
  <c r="F5" i="2"/>
  <c r="G5" i="2" s="1"/>
  <c r="F4" i="2"/>
  <c r="G5" i="34"/>
  <c r="G6" i="34"/>
  <c r="G7" i="34"/>
  <c r="G9" i="34"/>
  <c r="G10" i="34"/>
  <c r="G11" i="34"/>
  <c r="G12" i="34"/>
  <c r="G13" i="34"/>
  <c r="G14" i="34"/>
  <c r="G15" i="34"/>
  <c r="G17" i="34"/>
  <c r="G18" i="34"/>
  <c r="G19" i="34"/>
  <c r="G20" i="34"/>
  <c r="G21" i="34"/>
  <c r="G22" i="34"/>
  <c r="F38" i="38" l="1"/>
  <c r="G38" i="38" s="1"/>
  <c r="F37" i="38"/>
  <c r="G37" i="38" s="1"/>
  <c r="G40" i="38"/>
  <c r="G39" i="38"/>
  <c r="F36" i="38"/>
  <c r="G36" i="38" s="1"/>
  <c r="G35" i="38"/>
  <c r="F34" i="38"/>
  <c r="F33" i="38"/>
  <c r="F32" i="38"/>
  <c r="F31" i="38"/>
  <c r="F30" i="38"/>
  <c r="F29" i="38"/>
  <c r="F28" i="38"/>
  <c r="F27" i="38"/>
  <c r="F26" i="38"/>
  <c r="F24" i="38"/>
  <c r="F23" i="38"/>
  <c r="F22" i="38"/>
  <c r="F20" i="38"/>
  <c r="F21" i="38"/>
  <c r="F19" i="38"/>
  <c r="F17" i="38"/>
  <c r="F16" i="38"/>
  <c r="F15" i="38" l="1"/>
  <c r="G15" i="38" s="1"/>
  <c r="F14" i="38"/>
  <c r="G14" i="38" s="1"/>
  <c r="F13" i="38"/>
  <c r="G13" i="38" s="1"/>
  <c r="F12" i="38"/>
  <c r="G12" i="38" s="1"/>
  <c r="F11" i="38"/>
  <c r="G11" i="38" s="1"/>
  <c r="F10" i="38"/>
  <c r="G10" i="38" s="1"/>
  <c r="F9" i="38"/>
  <c r="G9" i="38" s="1"/>
  <c r="F8" i="38"/>
  <c r="G8" i="38" s="1"/>
  <c r="F7" i="38"/>
  <c r="G7" i="38" s="1"/>
  <c r="G34" i="38"/>
  <c r="G33" i="38"/>
  <c r="G30" i="38"/>
  <c r="G24" i="38"/>
  <c r="G23" i="38"/>
  <c r="G22" i="38"/>
  <c r="G21" i="38"/>
  <c r="G20" i="38"/>
  <c r="G19" i="38"/>
  <c r="G17" i="38"/>
  <c r="G16" i="38"/>
  <c r="F6" i="38"/>
  <c r="G6" i="38" s="1"/>
  <c r="F5" i="38"/>
  <c r="G5" i="38" s="1"/>
  <c r="G8" i="23" l="1"/>
  <c r="G6" i="31" l="1"/>
  <c r="G5" i="31"/>
  <c r="G7" i="31" l="1"/>
  <c r="I6" i="22"/>
  <c r="G5" i="46" l="1"/>
  <c r="G4" i="45"/>
  <c r="F244" i="42"/>
  <c r="G244" i="42" s="1"/>
  <c r="G243" i="42"/>
  <c r="F242" i="42"/>
  <c r="G242" i="42" s="1"/>
  <c r="F241" i="42"/>
  <c r="G241" i="42" s="1"/>
  <c r="F240" i="42"/>
  <c r="G240" i="42" s="1"/>
  <c r="G239" i="42"/>
  <c r="F239" i="42"/>
  <c r="F238" i="42"/>
  <c r="G238" i="42" s="1"/>
  <c r="F237" i="42"/>
  <c r="G237" i="42" s="1"/>
  <c r="F236" i="42"/>
  <c r="G236" i="42" s="1"/>
  <c r="F235" i="42"/>
  <c r="G235" i="42" s="1"/>
  <c r="F234" i="42"/>
  <c r="G234" i="42" s="1"/>
  <c r="F233" i="42"/>
  <c r="G233" i="42" s="1"/>
  <c r="F232" i="42"/>
  <c r="G232" i="42" s="1"/>
  <c r="F231" i="42"/>
  <c r="G231" i="42" s="1"/>
  <c r="F230" i="42"/>
  <c r="G230" i="42" s="1"/>
  <c r="F229" i="42"/>
  <c r="G229" i="42" s="1"/>
  <c r="F228" i="42"/>
  <c r="G228" i="42" s="1"/>
  <c r="F227" i="42"/>
  <c r="G227" i="42" s="1"/>
  <c r="F226" i="42"/>
  <c r="G226" i="42" s="1"/>
  <c r="F225" i="42"/>
  <c r="G225" i="42" s="1"/>
  <c r="F224" i="42"/>
  <c r="G224" i="42" s="1"/>
  <c r="F223" i="42"/>
  <c r="G223" i="42" s="1"/>
  <c r="F222" i="42"/>
  <c r="G222" i="42" s="1"/>
  <c r="F221" i="42"/>
  <c r="G221" i="42" s="1"/>
  <c r="F220" i="42"/>
  <c r="G220" i="42" s="1"/>
  <c r="F219" i="42"/>
  <c r="G219" i="42" s="1"/>
  <c r="F218" i="42"/>
  <c r="G218" i="42" s="1"/>
  <c r="F217" i="42"/>
  <c r="G217" i="42" s="1"/>
  <c r="F216" i="42"/>
  <c r="G216" i="42" s="1"/>
  <c r="F215" i="42"/>
  <c r="G215" i="42" s="1"/>
  <c r="F214" i="42"/>
  <c r="G214" i="42" s="1"/>
  <c r="F213" i="42"/>
  <c r="G213" i="42" s="1"/>
  <c r="F212" i="42"/>
  <c r="G212" i="42" s="1"/>
  <c r="F211" i="42"/>
  <c r="G211" i="42" s="1"/>
  <c r="F210" i="42"/>
  <c r="G210" i="42" s="1"/>
  <c r="F209" i="42"/>
  <c r="G209" i="42" s="1"/>
  <c r="F208" i="42"/>
  <c r="G208" i="42" s="1"/>
  <c r="F207" i="42"/>
  <c r="G207" i="42" s="1"/>
  <c r="F206" i="42"/>
  <c r="G206" i="42" s="1"/>
  <c r="F205" i="42"/>
  <c r="G205" i="42" s="1"/>
  <c r="F204" i="42"/>
  <c r="G204" i="42" s="1"/>
  <c r="F203" i="42"/>
  <c r="G203" i="42" s="1"/>
  <c r="F202" i="42"/>
  <c r="G202" i="42" s="1"/>
  <c r="F201" i="42"/>
  <c r="G201" i="42" s="1"/>
  <c r="F200" i="42"/>
  <c r="G200" i="42" s="1"/>
  <c r="F199" i="42"/>
  <c r="G199" i="42" s="1"/>
  <c r="F198" i="42"/>
  <c r="G198" i="42" s="1"/>
  <c r="F197" i="42"/>
  <c r="G197" i="42" s="1"/>
  <c r="F196" i="42"/>
  <c r="G196" i="42" s="1"/>
  <c r="G195" i="42"/>
  <c r="F194" i="42"/>
  <c r="G194" i="42" s="1"/>
  <c r="F193" i="42"/>
  <c r="G193" i="42" s="1"/>
  <c r="F192" i="42"/>
  <c r="G192" i="42" s="1"/>
  <c r="F191" i="42"/>
  <c r="G191" i="42" s="1"/>
  <c r="F190" i="42"/>
  <c r="G190" i="42" s="1"/>
  <c r="F189" i="42"/>
  <c r="G189" i="42" s="1"/>
  <c r="F188" i="42"/>
  <c r="G188" i="42" s="1"/>
  <c r="F187" i="42"/>
  <c r="G187" i="42" s="1"/>
  <c r="F186" i="42"/>
  <c r="G186" i="42" s="1"/>
  <c r="F185" i="42"/>
  <c r="G185" i="42" s="1"/>
  <c r="F184" i="42"/>
  <c r="G184" i="42" s="1"/>
  <c r="F183" i="42"/>
  <c r="G183" i="42" s="1"/>
  <c r="F182" i="42"/>
  <c r="G182" i="42" s="1"/>
  <c r="F181" i="42"/>
  <c r="G181" i="42" s="1"/>
  <c r="F180" i="42"/>
  <c r="G180" i="42" s="1"/>
  <c r="F179" i="42"/>
  <c r="G179" i="42" s="1"/>
  <c r="F178" i="42"/>
  <c r="G178" i="42" s="1"/>
  <c r="F177" i="42"/>
  <c r="G177" i="42" s="1"/>
  <c r="F176" i="42"/>
  <c r="G176" i="42" s="1"/>
  <c r="F175" i="42"/>
  <c r="G175" i="42" s="1"/>
  <c r="F174" i="42"/>
  <c r="G174" i="42" s="1"/>
  <c r="F173" i="42"/>
  <c r="G173" i="42" s="1"/>
  <c r="F172" i="42"/>
  <c r="G172" i="42" s="1"/>
  <c r="F171" i="42"/>
  <c r="G171" i="42" s="1"/>
  <c r="F170" i="42"/>
  <c r="G170" i="42" s="1"/>
  <c r="F169" i="42"/>
  <c r="G169" i="42" s="1"/>
  <c r="F168" i="42"/>
  <c r="G168" i="42" s="1"/>
  <c r="F167" i="42"/>
  <c r="G167" i="42" s="1"/>
  <c r="F166" i="42"/>
  <c r="G166" i="42" s="1"/>
  <c r="F165" i="42"/>
  <c r="G165" i="42" s="1"/>
  <c r="F164" i="42"/>
  <c r="G164" i="42" s="1"/>
  <c r="F163" i="42"/>
  <c r="G163" i="42" s="1"/>
  <c r="F162" i="42"/>
  <c r="G162" i="42" s="1"/>
  <c r="F161" i="42"/>
  <c r="G161" i="42" s="1"/>
  <c r="F160" i="42"/>
  <c r="G160" i="42" s="1"/>
  <c r="F159" i="42"/>
  <c r="G159" i="42" s="1"/>
  <c r="F158" i="42"/>
  <c r="G158" i="42" s="1"/>
  <c r="G157" i="42"/>
  <c r="F156" i="42"/>
  <c r="G156" i="42" s="1"/>
  <c r="F155" i="42"/>
  <c r="G155" i="42" s="1"/>
  <c r="F154" i="42"/>
  <c r="G154" i="42" s="1"/>
  <c r="F153" i="42"/>
  <c r="G153" i="42" s="1"/>
  <c r="F152" i="42"/>
  <c r="G152" i="42" s="1"/>
  <c r="F151" i="42"/>
  <c r="G151" i="42" s="1"/>
  <c r="F150" i="42"/>
  <c r="G150" i="42" s="1"/>
  <c r="F149" i="42"/>
  <c r="G149" i="42" s="1"/>
  <c r="F148" i="42"/>
  <c r="G148" i="42" s="1"/>
  <c r="F147" i="42"/>
  <c r="G147" i="42" s="1"/>
  <c r="F146" i="42"/>
  <c r="G146" i="42" s="1"/>
  <c r="F145" i="42"/>
  <c r="G145" i="42" s="1"/>
  <c r="F144" i="42"/>
  <c r="G144" i="42" s="1"/>
  <c r="F143" i="42"/>
  <c r="G143" i="42" s="1"/>
  <c r="F142" i="42"/>
  <c r="G142" i="42" s="1"/>
  <c r="F141" i="42"/>
  <c r="G141" i="42" s="1"/>
  <c r="F140" i="42"/>
  <c r="G140" i="42" s="1"/>
  <c r="F139" i="42"/>
  <c r="G139" i="42" s="1"/>
  <c r="F138" i="42"/>
  <c r="G138" i="42" s="1"/>
  <c r="F137" i="42"/>
  <c r="G137" i="42" s="1"/>
  <c r="F136" i="42"/>
  <c r="G136" i="42" s="1"/>
  <c r="F135" i="42"/>
  <c r="G135" i="42" s="1"/>
  <c r="F134" i="42"/>
  <c r="G134" i="42" s="1"/>
  <c r="G133" i="42"/>
  <c r="F132" i="42"/>
  <c r="G132" i="42" s="1"/>
  <c r="F131" i="42"/>
  <c r="G131" i="42" s="1"/>
  <c r="F130" i="42"/>
  <c r="G130" i="42" s="1"/>
  <c r="F129" i="42"/>
  <c r="G129" i="42" s="1"/>
  <c r="F128" i="42"/>
  <c r="G128" i="42" s="1"/>
  <c r="F127" i="42"/>
  <c r="G127" i="42" s="1"/>
  <c r="F126" i="42"/>
  <c r="G126" i="42" s="1"/>
  <c r="F125" i="42"/>
  <c r="G125" i="42" s="1"/>
  <c r="F124" i="42"/>
  <c r="G124" i="42" s="1"/>
  <c r="F123" i="42"/>
  <c r="G123" i="42" s="1"/>
  <c r="F122" i="42"/>
  <c r="G122" i="42" s="1"/>
  <c r="F121" i="42"/>
  <c r="G121" i="42" s="1"/>
  <c r="F120" i="42"/>
  <c r="G120" i="42" s="1"/>
  <c r="F119" i="42"/>
  <c r="G119" i="42" s="1"/>
  <c r="F118" i="42"/>
  <c r="G118" i="42" s="1"/>
  <c r="F117" i="42"/>
  <c r="G117" i="42" s="1"/>
  <c r="F116" i="42"/>
  <c r="G116" i="42" s="1"/>
  <c r="F115" i="42"/>
  <c r="G115" i="42" s="1"/>
  <c r="F114" i="42"/>
  <c r="G114" i="42" s="1"/>
  <c r="F113" i="42"/>
  <c r="G113" i="42" s="1"/>
  <c r="F112" i="42"/>
  <c r="G112" i="42" s="1"/>
  <c r="F111" i="42"/>
  <c r="G111" i="42" s="1"/>
  <c r="F110" i="42"/>
  <c r="G110" i="42" s="1"/>
  <c r="F109" i="42"/>
  <c r="G109" i="42" s="1"/>
  <c r="F108" i="42"/>
  <c r="G108" i="42" s="1"/>
  <c r="F107" i="42"/>
  <c r="G107" i="42" s="1"/>
  <c r="F106" i="42"/>
  <c r="G106" i="42" s="1"/>
  <c r="F105" i="42"/>
  <c r="G105" i="42" s="1"/>
  <c r="F104" i="42"/>
  <c r="G104" i="42" s="1"/>
  <c r="F103" i="42"/>
  <c r="G103" i="42" s="1"/>
  <c r="F102" i="42"/>
  <c r="G102" i="42" s="1"/>
  <c r="F101" i="42"/>
  <c r="G101" i="42" s="1"/>
  <c r="F100" i="42"/>
  <c r="G100" i="42" s="1"/>
  <c r="F99" i="42"/>
  <c r="G99" i="42" s="1"/>
  <c r="F98" i="42"/>
  <c r="G98" i="42" s="1"/>
  <c r="F97" i="42"/>
  <c r="G97" i="42" s="1"/>
  <c r="F96" i="42"/>
  <c r="G96" i="42" s="1"/>
  <c r="F95" i="42"/>
  <c r="G95" i="42" s="1"/>
  <c r="F94" i="42"/>
  <c r="G94" i="42" s="1"/>
  <c r="F93" i="42"/>
  <c r="G93" i="42" s="1"/>
  <c r="F92" i="42"/>
  <c r="G92" i="42" s="1"/>
  <c r="F91" i="42"/>
  <c r="G91" i="42" s="1"/>
  <c r="F90" i="42"/>
  <c r="G90" i="42" s="1"/>
  <c r="F89" i="42"/>
  <c r="G89" i="42" s="1"/>
  <c r="F88" i="42"/>
  <c r="G88" i="42" s="1"/>
  <c r="F87" i="42"/>
  <c r="G87" i="42" s="1"/>
  <c r="F86" i="42"/>
  <c r="G86" i="42" s="1"/>
  <c r="F85" i="42"/>
  <c r="G85" i="42" s="1"/>
  <c r="F84" i="42"/>
  <c r="G84" i="42" s="1"/>
  <c r="F83" i="42"/>
  <c r="G83" i="42" s="1"/>
  <c r="F82" i="42"/>
  <c r="G82" i="42" s="1"/>
  <c r="F81" i="42"/>
  <c r="G81" i="42" s="1"/>
  <c r="F80" i="42"/>
  <c r="G80" i="42" s="1"/>
  <c r="F79" i="42"/>
  <c r="G79" i="42" s="1"/>
  <c r="F78" i="42"/>
  <c r="G78" i="42" s="1"/>
  <c r="F77" i="42"/>
  <c r="G77" i="42" s="1"/>
  <c r="F76" i="42"/>
  <c r="G76" i="42" s="1"/>
  <c r="F75" i="42"/>
  <c r="G75" i="42" s="1"/>
  <c r="F74" i="42"/>
  <c r="G74" i="42" s="1"/>
  <c r="F73" i="42"/>
  <c r="G73" i="42" s="1"/>
  <c r="F72" i="42"/>
  <c r="G72" i="42" s="1"/>
  <c r="F71" i="42"/>
  <c r="G71" i="42" s="1"/>
  <c r="F70" i="42"/>
  <c r="G70" i="42" s="1"/>
  <c r="G69" i="42"/>
  <c r="F68" i="42"/>
  <c r="G68" i="42" s="1"/>
  <c r="G67" i="42"/>
  <c r="G66" i="42"/>
  <c r="G65" i="42"/>
  <c r="G64" i="42"/>
  <c r="G63" i="42"/>
  <c r="G62" i="42"/>
  <c r="F61" i="42"/>
  <c r="G61" i="42" s="1"/>
  <c r="F60" i="42"/>
  <c r="G60" i="42" s="1"/>
  <c r="F59" i="42"/>
  <c r="G59" i="42" s="1"/>
  <c r="F58" i="42"/>
  <c r="G58" i="42" s="1"/>
  <c r="F57" i="42"/>
  <c r="G57" i="42" s="1"/>
  <c r="F56" i="42"/>
  <c r="G56" i="42" s="1"/>
  <c r="G55" i="42"/>
  <c r="G54" i="42"/>
  <c r="G53" i="42"/>
  <c r="G52" i="42"/>
  <c r="G51" i="42"/>
  <c r="G50" i="42"/>
  <c r="G49" i="42"/>
  <c r="G48" i="42"/>
  <c r="G47" i="42"/>
  <c r="G46" i="42"/>
  <c r="G45" i="42"/>
  <c r="G44" i="42"/>
  <c r="G43" i="42"/>
  <c r="G42" i="42"/>
  <c r="G41" i="42"/>
  <c r="G40" i="42"/>
  <c r="G39" i="42"/>
  <c r="G38" i="42"/>
  <c r="G37" i="42"/>
  <c r="G36" i="42"/>
  <c r="G35" i="42"/>
  <c r="G34" i="42"/>
  <c r="G33" i="42"/>
  <c r="G32" i="42"/>
  <c r="G31" i="42"/>
  <c r="G30" i="42"/>
  <c r="G29" i="42"/>
  <c r="G28" i="42"/>
  <c r="G27" i="42"/>
  <c r="G26" i="42"/>
  <c r="G25" i="42"/>
  <c r="G24" i="42"/>
  <c r="G23" i="42"/>
  <c r="G22" i="42"/>
  <c r="G21" i="42"/>
  <c r="G20" i="42"/>
  <c r="G19" i="42"/>
  <c r="G18" i="42"/>
  <c r="G17" i="42"/>
  <c r="G16" i="42"/>
  <c r="G15" i="42"/>
  <c r="G14" i="42"/>
  <c r="G13" i="42"/>
  <c r="G12" i="42"/>
  <c r="G11" i="42"/>
  <c r="G10" i="42"/>
  <c r="G9" i="42"/>
  <c r="G8" i="42"/>
  <c r="G7" i="42"/>
  <c r="G6" i="42"/>
  <c r="G5" i="42"/>
  <c r="G4" i="42"/>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H7" i="40"/>
  <c r="H6" i="40"/>
  <c r="H5" i="40"/>
  <c r="H4" i="40"/>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1" i="39"/>
  <c r="G30" i="39"/>
  <c r="G29" i="39"/>
  <c r="G28" i="39"/>
  <c r="G27" i="39"/>
  <c r="G26" i="39"/>
  <c r="G25" i="39"/>
  <c r="G24" i="39"/>
  <c r="G23" i="39"/>
  <c r="G22" i="39"/>
  <c r="G21" i="39"/>
  <c r="G20" i="39"/>
  <c r="G19" i="39"/>
  <c r="G18" i="39"/>
  <c r="G17" i="39"/>
  <c r="G16" i="39"/>
  <c r="G15" i="39"/>
  <c r="G14" i="39"/>
  <c r="G13" i="39"/>
  <c r="G12" i="39"/>
  <c r="G11" i="39"/>
  <c r="G10" i="39"/>
  <c r="G9" i="39"/>
  <c r="G8" i="39"/>
  <c r="G7" i="39"/>
  <c r="G6" i="39"/>
  <c r="G5" i="39"/>
  <c r="G32" i="38"/>
  <c r="G31" i="38"/>
  <c r="G29" i="38"/>
  <c r="G28" i="38"/>
  <c r="G27" i="38"/>
  <c r="G26" i="38"/>
  <c r="G25" i="38"/>
  <c r="F18" i="38"/>
  <c r="G18" i="38" s="1"/>
  <c r="F117" i="36"/>
  <c r="G117" i="36" s="1"/>
  <c r="F116" i="36"/>
  <c r="G116" i="36" s="1"/>
  <c r="F115" i="36"/>
  <c r="G115" i="36" s="1"/>
  <c r="F114" i="36"/>
  <c r="G114" i="36" s="1"/>
  <c r="F113" i="36"/>
  <c r="G113" i="36" s="1"/>
  <c r="F112" i="36"/>
  <c r="G112" i="36" s="1"/>
  <c r="F111" i="36"/>
  <c r="G111" i="36" s="1"/>
  <c r="F110" i="36"/>
  <c r="G110" i="36" s="1"/>
  <c r="F109" i="36"/>
  <c r="G109" i="36" s="1"/>
  <c r="F108" i="36"/>
  <c r="G108" i="36" s="1"/>
  <c r="F107" i="36"/>
  <c r="G107" i="36" s="1"/>
  <c r="F106" i="36"/>
  <c r="G106" i="36" s="1"/>
  <c r="F105" i="36"/>
  <c r="G105" i="36" s="1"/>
  <c r="F104" i="36"/>
  <c r="G104" i="36" s="1"/>
  <c r="F103" i="36"/>
  <c r="G103" i="36" s="1"/>
  <c r="F102" i="36"/>
  <c r="G102" i="36" s="1"/>
  <c r="F101" i="36"/>
  <c r="G101" i="36" s="1"/>
  <c r="F100" i="36"/>
  <c r="G100" i="36" s="1"/>
  <c r="F99" i="36"/>
  <c r="G99" i="36" s="1"/>
  <c r="F98" i="36"/>
  <c r="G98" i="36" s="1"/>
  <c r="F97" i="36"/>
  <c r="G97" i="36" s="1"/>
  <c r="F96" i="36"/>
  <c r="G96" i="36" s="1"/>
  <c r="F95" i="36"/>
  <c r="G95" i="36" s="1"/>
  <c r="F94" i="36"/>
  <c r="G94" i="36" s="1"/>
  <c r="F93" i="36"/>
  <c r="G93" i="36" s="1"/>
  <c r="F92" i="36"/>
  <c r="G92" i="36" s="1"/>
  <c r="F91" i="36"/>
  <c r="G91" i="36" s="1"/>
  <c r="F90" i="36"/>
  <c r="G90" i="36" s="1"/>
  <c r="F89" i="36"/>
  <c r="G89" i="36" s="1"/>
  <c r="F88" i="36"/>
  <c r="G88" i="36" s="1"/>
  <c r="F87" i="36"/>
  <c r="G87" i="36" s="1"/>
  <c r="F86" i="36"/>
  <c r="G86" i="36" s="1"/>
  <c r="F85" i="36"/>
  <c r="G85" i="36" s="1"/>
  <c r="F84" i="36"/>
  <c r="G84" i="36" s="1"/>
  <c r="F83" i="36"/>
  <c r="G83" i="36" s="1"/>
  <c r="F82" i="36"/>
  <c r="G82" i="36" s="1"/>
  <c r="F81" i="36"/>
  <c r="G81" i="36" s="1"/>
  <c r="F80" i="36"/>
  <c r="G80" i="36" s="1"/>
  <c r="F79" i="36"/>
  <c r="G79" i="36" s="1"/>
  <c r="F78" i="36"/>
  <c r="G78" i="36" s="1"/>
  <c r="F77" i="36"/>
  <c r="G77" i="36" s="1"/>
  <c r="F76" i="36"/>
  <c r="G76" i="36" s="1"/>
  <c r="F75" i="36"/>
  <c r="G75" i="36" s="1"/>
  <c r="F74" i="36"/>
  <c r="G74" i="36" s="1"/>
  <c r="F73" i="36"/>
  <c r="G73" i="36" s="1"/>
  <c r="F72" i="36"/>
  <c r="G72" i="36" s="1"/>
  <c r="F71" i="36"/>
  <c r="G71" i="36" s="1"/>
  <c r="F70" i="36"/>
  <c r="G70" i="36" s="1"/>
  <c r="F69" i="36"/>
  <c r="G69" i="36" s="1"/>
  <c r="F68" i="36"/>
  <c r="G68" i="36" s="1"/>
  <c r="F67" i="36"/>
  <c r="G67" i="36" s="1"/>
  <c r="F66" i="36"/>
  <c r="G66" i="36" s="1"/>
  <c r="F65" i="36"/>
  <c r="G65" i="36" s="1"/>
  <c r="F64" i="36"/>
  <c r="G64" i="36" s="1"/>
  <c r="F63" i="36"/>
  <c r="G63" i="36" s="1"/>
  <c r="F62" i="36"/>
  <c r="G62" i="36" s="1"/>
  <c r="F61" i="36"/>
  <c r="G61" i="36" s="1"/>
  <c r="F60" i="36"/>
  <c r="G60" i="36" s="1"/>
  <c r="F59" i="36"/>
  <c r="G59" i="36" s="1"/>
  <c r="G58" i="36"/>
  <c r="G57" i="36"/>
  <c r="G56" i="36"/>
  <c r="G55" i="36"/>
  <c r="F54" i="36"/>
  <c r="G54" i="36" s="1"/>
  <c r="G53" i="36"/>
  <c r="F52" i="36"/>
  <c r="G52" i="36" s="1"/>
  <c r="G51" i="36"/>
  <c r="F50" i="36"/>
  <c r="G50" i="36" s="1"/>
  <c r="F49" i="36"/>
  <c r="G49" i="36" s="1"/>
  <c r="F48" i="36"/>
  <c r="G48" i="36" s="1"/>
  <c r="F47" i="36"/>
  <c r="G47" i="36" s="1"/>
  <c r="F46" i="36"/>
  <c r="G46" i="36" s="1"/>
  <c r="F45" i="36"/>
  <c r="G45" i="36" s="1"/>
  <c r="F44" i="36"/>
  <c r="G44" i="36" s="1"/>
  <c r="F43" i="36"/>
  <c r="G43" i="36" s="1"/>
  <c r="F42" i="36"/>
  <c r="G42" i="36" s="1"/>
  <c r="F41" i="36"/>
  <c r="G41" i="36" s="1"/>
  <c r="F40" i="36"/>
  <c r="G40" i="36" s="1"/>
  <c r="F39" i="36"/>
  <c r="G39" i="36" s="1"/>
  <c r="F38" i="36"/>
  <c r="G38" i="36" s="1"/>
  <c r="F37" i="36"/>
  <c r="G37" i="36" s="1"/>
  <c r="F36" i="36"/>
  <c r="G36" i="36" s="1"/>
  <c r="F35" i="36"/>
  <c r="G35" i="36" s="1"/>
  <c r="F34" i="36"/>
  <c r="G34" i="36" s="1"/>
  <c r="F33" i="36"/>
  <c r="G33" i="36" s="1"/>
  <c r="F32" i="36"/>
  <c r="G32" i="36" s="1"/>
  <c r="F31" i="36"/>
  <c r="G31" i="36" s="1"/>
  <c r="F30" i="36"/>
  <c r="G30" i="36" s="1"/>
  <c r="F29" i="36"/>
  <c r="G29" i="36" s="1"/>
  <c r="F28" i="36"/>
  <c r="G28" i="36" s="1"/>
  <c r="F27" i="36"/>
  <c r="G27" i="36" s="1"/>
  <c r="F26" i="36"/>
  <c r="G26" i="36" s="1"/>
  <c r="F25" i="36"/>
  <c r="G25" i="36" s="1"/>
  <c r="F24" i="36"/>
  <c r="G24" i="36" s="1"/>
  <c r="F23" i="36"/>
  <c r="G23" i="36" s="1"/>
  <c r="F22" i="36"/>
  <c r="G22" i="36" s="1"/>
  <c r="F21" i="36"/>
  <c r="G21" i="36" s="1"/>
  <c r="F20" i="36"/>
  <c r="G20" i="36" s="1"/>
  <c r="F19" i="36"/>
  <c r="G19" i="36" s="1"/>
  <c r="F18" i="36"/>
  <c r="G18" i="36" s="1"/>
  <c r="F17" i="36"/>
  <c r="G17" i="36" s="1"/>
  <c r="F16" i="36"/>
  <c r="G16" i="36" s="1"/>
  <c r="F15" i="36"/>
  <c r="G15" i="36" s="1"/>
  <c r="F14" i="36"/>
  <c r="G14" i="36" s="1"/>
  <c r="F13" i="36"/>
  <c r="G13" i="36" s="1"/>
  <c r="F12" i="36"/>
  <c r="G12" i="36" s="1"/>
  <c r="F11" i="36"/>
  <c r="G11" i="36" s="1"/>
  <c r="F10" i="36"/>
  <c r="G10" i="36" s="1"/>
  <c r="F9" i="36"/>
  <c r="G9" i="36" s="1"/>
  <c r="F8" i="36"/>
  <c r="G8" i="36" s="1"/>
  <c r="F7" i="36"/>
  <c r="G7" i="36" s="1"/>
  <c r="F5" i="36"/>
  <c r="G5" i="36" s="1"/>
  <c r="F4" i="36"/>
  <c r="G4" i="36" s="1"/>
  <c r="G30" i="35"/>
  <c r="G29" i="35"/>
  <c r="G28" i="35"/>
  <c r="G27" i="35"/>
  <c r="G26" i="35"/>
  <c r="G25" i="35"/>
  <c r="G24" i="35"/>
  <c r="G23" i="35"/>
  <c r="G22" i="35"/>
  <c r="G21" i="35"/>
  <c r="G20" i="35"/>
  <c r="G19" i="35"/>
  <c r="G18" i="35"/>
  <c r="G17" i="35"/>
  <c r="F16" i="35"/>
  <c r="G16" i="35" s="1"/>
  <c r="F15" i="35"/>
  <c r="G15" i="35" s="1"/>
  <c r="F14" i="35"/>
  <c r="G14" i="35" s="1"/>
  <c r="G13" i="35"/>
  <c r="G12" i="35"/>
  <c r="G11" i="35"/>
  <c r="G10" i="35"/>
  <c r="G9" i="35"/>
  <c r="G8" i="35"/>
  <c r="G7" i="35"/>
  <c r="G6" i="35"/>
  <c r="G5" i="35"/>
  <c r="G4" i="35"/>
  <c r="G31" i="35" l="1"/>
  <c r="G245" i="42"/>
  <c r="G74" i="39"/>
  <c r="H51" i="40"/>
  <c r="G42" i="38"/>
  <c r="G6" i="1" l="1"/>
  <c r="G5" i="1"/>
  <c r="G4" i="1"/>
  <c r="G4" i="2"/>
  <c r="G7" i="1" l="1"/>
  <c r="G63" i="5"/>
  <c r="G60" i="5"/>
  <c r="G58" i="5"/>
  <c r="G53" i="5"/>
  <c r="G52" i="5"/>
  <c r="G49" i="5"/>
  <c r="G30" i="5"/>
  <c r="G29" i="5"/>
  <c r="G28" i="5"/>
  <c r="G26" i="5"/>
  <c r="G21" i="5"/>
  <c r="G17" i="5"/>
  <c r="G14" i="5"/>
  <c r="G13" i="5"/>
  <c r="G62" i="5"/>
  <c r="G61" i="5"/>
  <c r="G59" i="5"/>
  <c r="G57" i="5"/>
  <c r="G56" i="5"/>
  <c r="G55" i="5"/>
  <c r="G54" i="5"/>
  <c r="G51" i="5"/>
  <c r="G50" i="5"/>
  <c r="G47" i="5"/>
  <c r="G36" i="5"/>
  <c r="G24" i="5"/>
  <c r="G10" i="5"/>
  <c r="G42" i="5"/>
  <c r="G41" i="5"/>
  <c r="G40" i="5"/>
  <c r="G16" i="5"/>
  <c r="G15" i="5"/>
  <c r="G48" i="5"/>
  <c r="G46" i="5"/>
  <c r="G45" i="5"/>
  <c r="G44" i="5"/>
  <c r="G43" i="5"/>
  <c r="G39" i="5"/>
  <c r="G38" i="5"/>
  <c r="G37" i="5"/>
  <c r="G35" i="5"/>
  <c r="G34" i="5"/>
  <c r="G33" i="5"/>
  <c r="G32" i="5"/>
  <c r="G31" i="5"/>
  <c r="G27" i="5"/>
  <c r="G25" i="5"/>
  <c r="G23" i="5"/>
  <c r="G22" i="5"/>
  <c r="G20" i="5"/>
  <c r="G19" i="5"/>
  <c r="G18" i="5"/>
  <c r="G12" i="5"/>
  <c r="G11" i="5"/>
  <c r="G8" i="5"/>
  <c r="G7" i="5"/>
  <c r="G6" i="5"/>
  <c r="G5" i="5"/>
  <c r="G88" i="5" l="1"/>
</calcChain>
</file>

<file path=xl/sharedStrings.xml><?xml version="1.0" encoding="utf-8"?>
<sst xmlns="http://schemas.openxmlformats.org/spreadsheetml/2006/main" count="5582" uniqueCount="1141">
  <si>
    <t xml:space="preserve">ITEM </t>
  </si>
  <si>
    <t>DESCRIPCION</t>
  </si>
  <si>
    <t xml:space="preserve">DEPENDENCIA QUE SOLICITA </t>
  </si>
  <si>
    <t>CANTI.</t>
  </si>
  <si>
    <t>UNIDAD</t>
  </si>
  <si>
    <t>VOLOR UNITA.</t>
  </si>
  <si>
    <t>DURACION ESTIMADA DEL CONTRATO</t>
  </si>
  <si>
    <t>MODALIDAD DE SELECCIÓN</t>
  </si>
  <si>
    <t>FUENTE DE LOS RECURSOS</t>
  </si>
  <si>
    <t>VALOR ESTIMADO DE LA VIGENCIA ACTUAL</t>
  </si>
  <si>
    <t>CARACTERISTICAS TECNICAS</t>
  </si>
  <si>
    <t>UD</t>
  </si>
  <si>
    <t xml:space="preserve"> </t>
  </si>
  <si>
    <t>RUBRO</t>
  </si>
  <si>
    <t>TELEFAX</t>
  </si>
  <si>
    <t>MTS</t>
  </si>
  <si>
    <t>ARCHIVADOR PARED</t>
  </si>
  <si>
    <t>MODULOS DE RECEPCION EN L</t>
  </si>
  <si>
    <t>SILLAS UNIVERSITARIAS</t>
  </si>
  <si>
    <t>SILLAS EJECUTIVAS</t>
  </si>
  <si>
    <t>SILLA RIMAX SIN BRAZOS</t>
  </si>
  <si>
    <t>SILLA ERGONOMICA CON BRASOS</t>
  </si>
  <si>
    <t>SILLAS INTERLOCUTORAS</t>
  </si>
  <si>
    <t>SILLAS PLEGABLES</t>
  </si>
  <si>
    <t>SILLAS ERGONOMICAS CON RODACHINES</t>
  </si>
  <si>
    <t>PERSIANAS</t>
  </si>
  <si>
    <t>ESCRITORIO EJECUTIVO</t>
  </si>
  <si>
    <t>ESCRITORIO TIPO SECRETARIA</t>
  </si>
  <si>
    <t>TABLEROS EN ACRILICO</t>
  </si>
  <si>
    <t>ESTANTERIA MATELICA</t>
  </si>
  <si>
    <t>ESTANTERIA EN MEDERA</t>
  </si>
  <si>
    <t>ARCHIVADOR EN MADERA DE 4 GAVETAS</t>
  </si>
  <si>
    <t>ARCHIVADOR RODANTE</t>
  </si>
  <si>
    <t>MESA RIMAX</t>
  </si>
  <si>
    <t xml:space="preserve">CARTELERA EN MADERA Y VIDRIO </t>
  </si>
  <si>
    <t>CAMILLAS PARA EMERGENCIAS</t>
  </si>
  <si>
    <t>LOKER METALICO DE 16 PUESTOS</t>
  </si>
  <si>
    <t>OFICINA DE LIQUIDACIÓN</t>
  </si>
  <si>
    <t xml:space="preserve">UD </t>
  </si>
  <si>
    <t>INVITACIÓN DIRECTA</t>
  </si>
  <si>
    <t>PROPIOS</t>
  </si>
  <si>
    <t>UPS</t>
  </si>
  <si>
    <t>ARCHIVADOR AEREO</t>
  </si>
  <si>
    <t>ESTRUCTURA METALICA EN HIERRO TUBO DE 7/8 CALIBRE 18, PINTADO CON PINTURA METALIZADA,  ASIENTO Y ESPLADAS EN POLIORETANO INYECTADO TIPO PIEL INTEGRAL FACIL MENTE LAVABLE, IMPERMEABLE , DE ALTA DENSIDAD 85+1, DUREZA SHORE, INYECTADO SOBRE ALMA DE MADERA, DE 12 MM. SW ESPESOR CON CURVAS ERGONOMICAS, QUE GENERA COMODIDAD PARA AMPLIOS PERIODOS CON BRASO INCORPORADOEN TRIPLE DE 15 MM. DE EXPESOR ENCHAPADA EN FORMICA CON RESISTENCIA AL RAYADO, CON DIMENSIONES: ASIENTO ESPESOR DE 5 CM. ANCHO DE 48 CM. LARGO DE 43 CM. ESPALDAR ALTO 34 CM. ANCHO DE 48 CM. EXPESOR DE 4 CM, COLOR NEGRO</t>
  </si>
  <si>
    <t xml:space="preserve">SILLA GERENTE DOTTY ASIENTO Y ESPALDAR E CARAZA ANCHA DE ESPALDAR MEDIO SON ESPUMA ERGONOMICA INYECTADA. PLATO NEUTMATICO  REF EGO16, INCLUYE RODACHINES </t>
  </si>
  <si>
    <t>SILLAS MAMBO SIN BRASO</t>
  </si>
  <si>
    <t>REF. EGO14 CARCAZA DE ESPALDAR MEDIO ESPUMA INYECTADA. MECANISMO NEUMATICOS DE GRADUACIÓN DE ALTURA GASE CORMADOA CON 5 RODACHINES</t>
  </si>
  <si>
    <t>SILLA ISOSELES ESTRUCTURA APILABLE EN TUBO DE 1" CAL. 18. TAPICERIA EN PAÑO ROJO REF. SI106</t>
  </si>
  <si>
    <t>SILLA DE SPALDAR ALTOMECANISMO NEUMATICO DE GRADUACIOIN DE ALTURA REF. EG003</t>
  </si>
  <si>
    <t>TELON DE PROYECCION DE PARED CON ESTRUCTURA METALICA</t>
  </si>
  <si>
    <t>EL ALUMINIO CROMADO VIDRIO Y ENTRPAÑO X METRO CUADRODO</t>
  </si>
  <si>
    <t>CORTINA EN TELA X MTS</t>
  </si>
  <si>
    <t>TELÓN PARA PORYECTAR</t>
  </si>
  <si>
    <t>METALICA CERRADO DOBLE SERVICIO REF: ENO22 alt 2mtsx ancho 090 mts x 0,50fondo</t>
  </si>
  <si>
    <t>DE 3 SECCIONES METALICO</t>
  </si>
  <si>
    <t xml:space="preserve">PORTATIL DOBLE PLEGABLE, ESTRUCURA METALICA </t>
  </si>
  <si>
    <t>EN ESTRUCTURA DE MAREA VIDRIO CORREDISO CON CHAPA EN FONDO FARRADO EN PAÑO DE 170X.90.15 MTS.</t>
  </si>
  <si>
    <t>MUEBLE PARA TROFEOS SEGÚN MEDIDA</t>
  </si>
  <si>
    <t>EN MEDRA SEGÚN MEDIDAS</t>
  </si>
  <si>
    <t>PORTATIL PROFESIONAL PRO 3CPOS SPA</t>
  </si>
  <si>
    <t>MUEBLES PARA COMPUTADOR</t>
  </si>
  <si>
    <t>SOPORTE PARA VIDEO BEAM</t>
  </si>
  <si>
    <t>DE 1.80ALTOX 1,5  ANCHOX.30 FONDO MTS.</t>
  </si>
  <si>
    <t>ARCHIVADO METALICO DE 4 GAVETAS</t>
  </si>
  <si>
    <t>DE CUATRO GAVETAS METALICO CALIBRE 22 DE 1.35 ALTO X 0.47 ANCHO X 0.70 FONDO CON CHAPA DE BLOQUE CENRAL</t>
  </si>
  <si>
    <t>EN MADERA DE 4 CAJONES CON CHAPA DE  BLOQUEO</t>
  </si>
  <si>
    <t>DE CARTULINA 300 GR LIBRE DE ACIDO - COLOR AMARILLO</t>
  </si>
  <si>
    <t>CARPETA CAFÉ OFICIO</t>
  </si>
  <si>
    <t>CAJA POR 50 UNIDADES</t>
  </si>
  <si>
    <t>CAJA</t>
  </si>
  <si>
    <t>ESTANDAR COBRIZADO</t>
  </si>
  <si>
    <t>REF 100</t>
  </si>
  <si>
    <t>REF. 100</t>
  </si>
  <si>
    <t>UM-120</t>
  </si>
  <si>
    <t>REF. 90654</t>
  </si>
  <si>
    <t>DE 40 GRS.</t>
  </si>
  <si>
    <t>PORTAMINA No: 0.7</t>
  </si>
  <si>
    <t>TAMOÑO CARTA</t>
  </si>
  <si>
    <t>CD DVD</t>
  </si>
  <si>
    <t>ANCHA</t>
  </si>
  <si>
    <t>GANCHO CLIP</t>
  </si>
  <si>
    <t>CAJ X 2100 UNIDADES</t>
  </si>
  <si>
    <t>LAPICERO MICRO PUNTA</t>
  </si>
  <si>
    <t>TAMAÑO CARTA 75-90 GRAMOS REMA X HOJAS DE 500 UD</t>
  </si>
  <si>
    <t>RESMA</t>
  </si>
  <si>
    <t>TAMANO CARTA DE 75 -90 GRAMOS RSMA DE 500 UD</t>
  </si>
  <si>
    <t>ESPECIAL REF. 25X31 PAPEL ECOLOGICO</t>
  </si>
  <si>
    <t>REF 23X35 PAPEL ECOLOGICO</t>
  </si>
  <si>
    <t>No. 2 NEGRO</t>
  </si>
  <si>
    <t>FABER GRIPMATIC 0,7, CAJA X 12 UD</t>
  </si>
  <si>
    <t>CAJA X 10 UD</t>
  </si>
  <si>
    <t>TORRE X 100 UD</t>
  </si>
  <si>
    <t>GRIP FINEPEN460 DE 0.4 MM. NEGRO, CAJA X 12 UD</t>
  </si>
  <si>
    <t>LAMIX</t>
  </si>
  <si>
    <t>CARTA</t>
  </si>
  <si>
    <t>FRASCO</t>
  </si>
  <si>
    <t>BANDAS DE CAUCHO</t>
  </si>
  <si>
    <t>GANCHO PLASTICO PARA LEGAJADOR</t>
  </si>
  <si>
    <t>PAQUETE</t>
  </si>
  <si>
    <t>PAPEL KIMBERLY A DIS TINTAS CON EL LOGOTIPO DE LA UNIVERSIDAD</t>
  </si>
  <si>
    <t xml:space="preserve"> FRASCO</t>
  </si>
  <si>
    <t>PAQUETE  COLOR TRANSPARENTES</t>
  </si>
  <si>
    <t>TORRE</t>
  </si>
  <si>
    <t>MARCADOR BORRABLE RECARGABLE</t>
  </si>
  <si>
    <t>RECARGABLE</t>
  </si>
  <si>
    <t>MARCADOR PERMANENTE</t>
  </si>
  <si>
    <t>RESALTADOR VERDE</t>
  </si>
  <si>
    <t>RESALTADOR AMARILLO</t>
  </si>
  <si>
    <t>TIJERAS GRANDES</t>
  </si>
  <si>
    <t>PERFORADORAS</t>
  </si>
  <si>
    <t>PILAS AAA</t>
  </si>
  <si>
    <t>BORRADOR PARA TABLERO EN ACRILICO</t>
  </si>
  <si>
    <t>COLORES VARIADO</t>
  </si>
  <si>
    <t>VARIOS COLORES</t>
  </si>
  <si>
    <t>GRANDE</t>
  </si>
  <si>
    <t>PAR AAA</t>
  </si>
  <si>
    <t>PAR AA</t>
  </si>
  <si>
    <t>DE 30 CM.</t>
  </si>
  <si>
    <t>CON FECHA, HORA DE RECIBIDO, Y OFICINA QUIEN RECIBE</t>
  </si>
  <si>
    <t>PAQUETE DE TAMAÑO MEDIANO</t>
  </si>
  <si>
    <t>POR INVITACIÓN DIRECTA</t>
  </si>
  <si>
    <t>TONNER 05X</t>
  </si>
  <si>
    <t>TONNER 12A</t>
  </si>
  <si>
    <t>TONNER 49 A</t>
  </si>
  <si>
    <t>TONNER 35 A</t>
  </si>
  <si>
    <t>TONNER 85 A</t>
  </si>
  <si>
    <t>TONNER 90 A</t>
  </si>
  <si>
    <t>BOLSA O FRASCO</t>
  </si>
  <si>
    <t>6 MESES</t>
  </si>
  <si>
    <t>MODELO KX-TS500LX</t>
  </si>
  <si>
    <t>edding 200</t>
  </si>
  <si>
    <t>AHARPIE</t>
  </si>
  <si>
    <t>FABER CASSTEL</t>
  </si>
  <si>
    <t>STUMARK 75*75 OFFI-ESCO 300 H</t>
  </si>
  <si>
    <t>OFICINA 6-1/2 NEGRAS WINGO</t>
  </si>
  <si>
    <t>CAJA DE COLORES TRITTO</t>
  </si>
  <si>
    <t>TIPO TIJERA, TRITTON</t>
  </si>
  <si>
    <t>RAPID 120</t>
  </si>
  <si>
    <t>KANGARO DP-480/12 HOJAS</t>
  </si>
  <si>
    <t>OFFIESCO OE-324 7O HJ</t>
  </si>
  <si>
    <t>XG-833/40 HOJAS</t>
  </si>
  <si>
    <t>FOMI1150</t>
  </si>
  <si>
    <t>GENIOS DX-120 USB NEGRO</t>
  </si>
  <si>
    <t>MH 16</t>
  </si>
  <si>
    <t>POINTER</t>
  </si>
  <si>
    <t>NORMA PQT*20</t>
  </si>
  <si>
    <t>PAQUEETE</t>
  </si>
  <si>
    <t>VOLOR UNITA. INCLUIDO IVA</t>
  </si>
  <si>
    <t>SUPERFICIE EN LAIMNA, BASE DE TUBO CUADRADO ANCHO .80XFONDO 0,50 REF: PI001</t>
  </si>
  <si>
    <t xml:space="preserve">ROLLO </t>
  </si>
  <si>
    <t xml:space="preserve">PAPEL MATALIZADO CON EL LOGO DE LA USCO, ROLLO CON 500 UNIDADES </t>
  </si>
  <si>
    <t>TINTA PARA ALMOHADILLAS</t>
  </si>
  <si>
    <t>BLURAY QUEMADOR LECTOR EXTERNO</t>
  </si>
  <si>
    <t>ENERGE DIGITAL</t>
  </si>
  <si>
    <t>CILINDRICO CROMADA CON TAPA</t>
  </si>
  <si>
    <t>PARA RCHIVADOR</t>
  </si>
  <si>
    <t>ADHESIVO</t>
  </si>
  <si>
    <t>METALICO CROMADO</t>
  </si>
  <si>
    <t xml:space="preserve">TCG 200-70 </t>
  </si>
  <si>
    <t>GBC MODELO 5500</t>
  </si>
  <si>
    <t>BIOMETRICA DACTILAR</t>
  </si>
  <si>
    <t>TELEFONOS DIGITALES INALAMBRICOS</t>
  </si>
  <si>
    <t xml:space="preserve">MESA OVALADA DE 8 PUESTOS </t>
  </si>
  <si>
    <t>CORTINAS</t>
  </si>
  <si>
    <t xml:space="preserve">Accesorio Sanitarios grifería </t>
  </si>
  <si>
    <t>Accesorios grifería orinal</t>
  </si>
  <si>
    <t>Adaptador hembra 1"</t>
  </si>
  <si>
    <t>Adaptador hembra 2"</t>
  </si>
  <si>
    <t>Adaptador hembra 3"</t>
  </si>
  <si>
    <t>Adaptador hembra 4"</t>
  </si>
  <si>
    <t>Adaptador macho 1"</t>
  </si>
  <si>
    <t>Adaptador macho 1/2"</t>
  </si>
  <si>
    <t>Adaptador macho 2"</t>
  </si>
  <si>
    <t>Adaptador macho 3"</t>
  </si>
  <si>
    <t>Adaptador macho 4"</t>
  </si>
  <si>
    <t>adhesivo para lijadora dewalh d264451</t>
  </si>
  <si>
    <t>Adhesión lijadora D26451</t>
  </si>
  <si>
    <t>Agua Stop</t>
  </si>
  <si>
    <t>Alambre liso 16</t>
  </si>
  <si>
    <t>alicate con aislante 10"</t>
  </si>
  <si>
    <t>Alacranes o prensas manuales de 1 mts.</t>
  </si>
  <si>
    <t>Angulo 1 Pulgada x 1/8</t>
  </si>
  <si>
    <t>Angulo 2 de pulgadas x 1/8</t>
  </si>
  <si>
    <t>Angulo 3/8 x 1/8</t>
  </si>
  <si>
    <t>Árbol Sanitario de entrada</t>
  </si>
  <si>
    <t>Asfalto liquido R-190</t>
  </si>
  <si>
    <t>Barras</t>
  </si>
  <si>
    <t>Batería Sanitaria</t>
  </si>
  <si>
    <t>Bisagras cabrerizas 3x3</t>
  </si>
  <si>
    <t>bisagras tubular</t>
  </si>
  <si>
    <t>Brazo hidráulico ref. 002 trabajo liviano</t>
  </si>
  <si>
    <t xml:space="preserve">brocha 1" </t>
  </si>
  <si>
    <t>Brocha 2”</t>
  </si>
  <si>
    <t>Brocha 3”</t>
  </si>
  <si>
    <t>Brocha 4”</t>
  </si>
  <si>
    <t>Binda boquilla</t>
  </si>
  <si>
    <t>Cadena de 3/8” para colgar la parrilla</t>
  </si>
  <si>
    <t>Cadenas de 80 cc y 42 dientes y para una espada de 70 cc</t>
  </si>
  <si>
    <t>Cable dúplex encauchetado calibre 12 para instalación de luces.</t>
  </si>
  <si>
    <t>Canaleta Plásticas</t>
  </si>
  <si>
    <t>Canaleta en laminas</t>
  </si>
  <si>
    <t xml:space="preserve">Cemento Blanco </t>
  </si>
  <si>
    <t xml:space="preserve">Cemento Gris </t>
  </si>
  <si>
    <t>Chazos de plástico con tornillo de 1/4, 5/16 y 3/8.</t>
  </si>
  <si>
    <t>chazos plásticos expandibles</t>
  </si>
  <si>
    <t>Cheque Hidráulico 1”</t>
  </si>
  <si>
    <t>Cheque Hidráulico de 1/2</t>
  </si>
  <si>
    <t>Cheques Hidráulicos de 3/4</t>
  </si>
  <si>
    <t>Chazos para draiboll</t>
  </si>
  <si>
    <t>cinta multiseal 015x10 mts</t>
  </si>
  <si>
    <t>Cinta Teflón</t>
  </si>
  <si>
    <t>Codos PVC 1/2” aprensión</t>
  </si>
  <si>
    <t>Codos PVC 1" aprensión</t>
  </si>
  <si>
    <t>Codos PVC 2" aprensión</t>
  </si>
  <si>
    <t>Codos PVC 3" aprensión</t>
  </si>
  <si>
    <t>Codos PVC 3/4" aprensión</t>
  </si>
  <si>
    <t>Codos PVC 4" aprensión</t>
  </si>
  <si>
    <t>Codos sanitario 1" PVC</t>
  </si>
  <si>
    <t>Codos sanitario 2" PVC</t>
  </si>
  <si>
    <t>Codos sanitario 3" PVC</t>
  </si>
  <si>
    <t>Codos sanitario 4" PVC</t>
  </si>
  <si>
    <t>compresor pequeño portátil</t>
  </si>
  <si>
    <t>corta frio</t>
  </si>
  <si>
    <t>Compas grande</t>
  </si>
  <si>
    <t>Destornillador de estría grande</t>
  </si>
  <si>
    <t>Destornillador inalámbrico recargable</t>
  </si>
  <si>
    <t>Dril negro grueso</t>
  </si>
  <si>
    <t>disco para la sierra circular de 14 y 16"</t>
  </si>
  <si>
    <t>Disco para sierra de 10”</t>
  </si>
  <si>
    <t>Disco para pulidora 3” Metal</t>
  </si>
  <si>
    <t>Disco pulir metal 7”</t>
  </si>
  <si>
    <t xml:space="preserve">disco punta de diamante grande </t>
  </si>
  <si>
    <t>disco punta de diamante pequeño</t>
  </si>
  <si>
    <t>engrapadora</t>
  </si>
  <si>
    <t>escuadras metálicas de 30 cm</t>
  </si>
  <si>
    <t>escuadras metálicas de 45 cm</t>
  </si>
  <si>
    <t>Espátulas de 3”</t>
  </si>
  <si>
    <t>Espátulas de 4”</t>
  </si>
  <si>
    <t>Estuco Plástico</t>
  </si>
  <si>
    <t>Extractores siemens No.16</t>
  </si>
  <si>
    <t>Flexo metro de 10 metros</t>
  </si>
  <si>
    <t>Flexo metro de 7 metros</t>
  </si>
  <si>
    <t>formones de 1"</t>
  </si>
  <si>
    <t>formones de 1/2"</t>
  </si>
  <si>
    <t>formones de 1/4"</t>
  </si>
  <si>
    <t>formones de 3/4"</t>
  </si>
  <si>
    <t>ganchos para engrapar</t>
  </si>
  <si>
    <t>gravilla de 1/2" triturada</t>
  </si>
  <si>
    <t>hombresolo</t>
  </si>
  <si>
    <t>Juego broca para madera</t>
  </si>
  <si>
    <t>juego de brocas de taladro percutor</t>
  </si>
  <si>
    <t>Juego de Brocas para muro o tungsteno de diferentes diámetros</t>
  </si>
  <si>
    <t>juego de copas con reachy</t>
  </si>
  <si>
    <t>juego de disco para lijadora dewalh d264451</t>
  </si>
  <si>
    <t>Juego de puntas aceradas</t>
  </si>
  <si>
    <t>Juego de lija No. 120</t>
  </si>
  <si>
    <t>Juego de lija No. 150</t>
  </si>
  <si>
    <t>Juego de lija No. 180</t>
  </si>
  <si>
    <t>Juego de lija No. 240</t>
  </si>
  <si>
    <t xml:space="preserve">juego de llaves mixta </t>
  </si>
  <si>
    <t>juego destornillador de estría dimensiones variadas</t>
  </si>
  <si>
    <t>juego destornillador de pala dimensiones variadas</t>
  </si>
  <si>
    <t>Juego grifería para lavamanos</t>
  </si>
  <si>
    <t>Juegos de cuchillas para el tractor corta pasto No.4</t>
  </si>
  <si>
    <t>Juegos de llaves Bristol 3mm a 15mm.</t>
  </si>
  <si>
    <t>juegos de sierra surtida para caladora Dewalt</t>
  </si>
  <si>
    <t>kit para pistola de pintar</t>
  </si>
  <si>
    <t>laca caoba para madera</t>
  </si>
  <si>
    <t>laca mate para madera</t>
  </si>
  <si>
    <t>Laca Transparente Barniz</t>
  </si>
  <si>
    <t>Lámina de triplex 12 mm Pino 1,20 x 2,40</t>
  </si>
  <si>
    <t>Lámina de triplex 15 mm 1,50mm x 2,40</t>
  </si>
  <si>
    <t>Lámina de triplex 9 mm 1,80mm x 2,40</t>
  </si>
  <si>
    <t>Lámina icopor 61 x 122</t>
  </si>
  <si>
    <t>Lámina Kol rol calibre 18</t>
  </si>
  <si>
    <t>Laminas Draiboll</t>
  </si>
  <si>
    <t>Limas redondas</t>
  </si>
  <si>
    <t>Lavamanos</t>
  </si>
  <si>
    <t>Limpiador PVC 1/8</t>
  </si>
  <si>
    <t>Linterna</t>
  </si>
  <si>
    <t>llantas completa para buggy</t>
  </si>
  <si>
    <t>llave de tubo de 24"</t>
  </si>
  <si>
    <t>llave de tubo No.10</t>
  </si>
  <si>
    <t>llave de tubo No.8</t>
  </si>
  <si>
    <t>llave expansiva de 3", 5"" y 10"</t>
  </si>
  <si>
    <t>Llave para lavamanos GRIVAL O GRICOL</t>
  </si>
  <si>
    <t>Llave para lavaplatos completo GRIVAL O GRICOL</t>
  </si>
  <si>
    <t>Llave para orinal GRIVAL O GRICOL</t>
  </si>
  <si>
    <t>Llave paso 1 / 2</t>
  </si>
  <si>
    <t>Llave paso 1"</t>
  </si>
  <si>
    <t>Llave paso 2"</t>
  </si>
  <si>
    <t>Llave paso 3"</t>
  </si>
  <si>
    <t>Llave paso 6"</t>
  </si>
  <si>
    <t>llave terminal de 1/2"</t>
  </si>
  <si>
    <t>Llaves para orinal GRIVAL O GRICOL</t>
  </si>
  <si>
    <t>Maderas polines 5 * 5 * 3</t>
  </si>
  <si>
    <t>Maderas tablas burros</t>
  </si>
  <si>
    <t>manguera con acoples de 10m de largo</t>
  </si>
  <si>
    <t>manguera de alta presión</t>
  </si>
  <si>
    <t>Mangueras para lavamanos</t>
  </si>
  <si>
    <t>Mangueras para sanitarios</t>
  </si>
  <si>
    <t>Manija tanque sanitario GRIVAL O GRICOL</t>
  </si>
  <si>
    <t>Manto cetal</t>
  </si>
  <si>
    <t>marco para segueta</t>
  </si>
  <si>
    <t>martillo plástico mediano</t>
  </si>
  <si>
    <t>masilla gris para madera</t>
  </si>
  <si>
    <t>Maseta</t>
  </si>
  <si>
    <t>Mezcladores para Lavaplatos cuelo ganso.</t>
  </si>
  <si>
    <t>Orinales incluye accesorios</t>
  </si>
  <si>
    <t>Palines</t>
  </si>
  <si>
    <t>Palustre de 4”</t>
  </si>
  <si>
    <t>Palustre de 6”</t>
  </si>
  <si>
    <t xml:space="preserve">Pegacor </t>
  </si>
  <si>
    <t>Pegante silicona transparente ( Líquida)</t>
  </si>
  <si>
    <t>Peinillas de 22 pulgadas</t>
  </si>
  <si>
    <t>Pintura Anoloc PINTUCO o VINILTEX</t>
  </si>
  <si>
    <t>Pintura Anticorrosivo rojo PINTUCO o VINILTEX</t>
  </si>
  <si>
    <t>Pintura Blanca de tráfico Pesado  PINTUCO o VINILTEX</t>
  </si>
  <si>
    <t>Pintura Negra vinilo PINTUCO o VINILTEX</t>
  </si>
  <si>
    <t>Pintura Blanca Tipo I vinilo PINTUCO o VINILTEX</t>
  </si>
  <si>
    <t>Pintura Doméstico Azul PINTUCO o VINILTEX</t>
  </si>
  <si>
    <t>Pintura Doméstico Rojo PINTUCO o VINILTEX</t>
  </si>
  <si>
    <t>Pintura Esmaltada color blanco PINTUCO o VINILTEX</t>
  </si>
  <si>
    <t>Pintura Esmalte Negro PINTUCO o VINILTEX</t>
  </si>
  <si>
    <t>Pintura Gris Basalto PINTUCO o VINILTEX</t>
  </si>
  <si>
    <t>Pintura Negro tráfico pesado PINTUCO o VINILTEX</t>
  </si>
  <si>
    <t>Pintura Verde Pino PINTUCO o VINILTEX</t>
  </si>
  <si>
    <t>Pinturas Amarillo tráfico pesado PINTUCO o VINILTEX</t>
  </si>
  <si>
    <t>pinzas</t>
  </si>
  <si>
    <t>Platinas 1/ 8 x 3 / 4 ”</t>
  </si>
  <si>
    <t>Planas</t>
  </si>
  <si>
    <t>plomada de punto centro</t>
  </si>
  <si>
    <t>plomadas</t>
  </si>
  <si>
    <t>Prensas manuales No.10</t>
  </si>
  <si>
    <t>Prensas manuales No.12</t>
  </si>
  <si>
    <t>pulidora pequeña</t>
  </si>
  <si>
    <t>Puntillas 1 1/2”</t>
  </si>
  <si>
    <t>Puntillas 1 p / madera</t>
  </si>
  <si>
    <t>Puntillas de 2 ”</t>
  </si>
  <si>
    <t>Puntillas de 3 ”</t>
  </si>
  <si>
    <t xml:space="preserve">Punteros </t>
  </si>
  <si>
    <t>Registro de 2"</t>
  </si>
  <si>
    <t>Registro de 3"</t>
  </si>
  <si>
    <t>Registro de 4"</t>
  </si>
  <si>
    <t>Remachadora Stanley</t>
  </si>
  <si>
    <t>remaches grandes, medianos y pequeños (5c/u)</t>
  </si>
  <si>
    <t>Riata negra o azul para cortinas (ojálate grande)</t>
  </si>
  <si>
    <t>Rodillos Felpa</t>
  </si>
  <si>
    <t>Rollos cinta enmascarar 1/2”</t>
  </si>
  <si>
    <t>Rollos cinta enmascarar 1”</t>
  </si>
  <si>
    <t>Roto martillo capacidad de concretos 2"</t>
  </si>
  <si>
    <t>Seguetas para metal</t>
  </si>
  <si>
    <t>Sellador madera</t>
  </si>
  <si>
    <t xml:space="preserve">serrucho escuadra de 10" </t>
  </si>
  <si>
    <t>sierra con dientes de tusteno 48x16 eje de 7/8</t>
  </si>
  <si>
    <t>Sierra circular manual</t>
  </si>
  <si>
    <t>Sierra circular de 12” portátil</t>
  </si>
  <si>
    <t>Soldadura o Pegante PVC</t>
  </si>
  <si>
    <t xml:space="preserve">Soldadura Wasarco x 1/8 </t>
  </si>
  <si>
    <t>Sonda para tuberías sanitarias (cañería)</t>
  </si>
  <si>
    <t xml:space="preserve">Tarraja con sus respectivos dados </t>
  </si>
  <si>
    <t>taladro martillo grande</t>
  </si>
  <si>
    <t>taladro percutor de 1"</t>
  </si>
  <si>
    <t>taladro percutor de 1/2" dewalt</t>
  </si>
  <si>
    <t>Tanque de 1000 litros</t>
  </si>
  <si>
    <t>Tanque para almacenar agua potable</t>
  </si>
  <si>
    <t>TEJAS DE ZINC</t>
  </si>
  <si>
    <t>Tejas Arquitectónicas</t>
  </si>
  <si>
    <t>Thinner</t>
  </si>
  <si>
    <t>Triangulares</t>
  </si>
  <si>
    <t>Tijeras para tubería PVC</t>
  </si>
  <si>
    <t>Tornillos acero galvanizados de 3 pulgadas por 7/16 pulgadas con tuerca y arandelas.</t>
  </si>
  <si>
    <t>Tornillos acero galvanizados de 2 pulgadas por 7/16 pulgadas con tuerca y arandelas.</t>
  </si>
  <si>
    <t>tornillos de 3/4 pulgadas x 1/4 de grueso - rosa fina</t>
  </si>
  <si>
    <t>Tubos para cortina gruesos con soportes</t>
  </si>
  <si>
    <t>Tubo cuadrado de 1" calibre 18</t>
  </si>
  <si>
    <t>Tubo cuadrado de 3/4" calibre 18</t>
  </si>
  <si>
    <t>Tubo de agua lluvia de 2”</t>
  </si>
  <si>
    <t>Tubo para aguas negras de 2" calibre 18</t>
  </si>
  <si>
    <t>Tubo para aguas negras de 1" calibre 18</t>
  </si>
  <si>
    <t>Tubo PVC de 1/2 de presión</t>
  </si>
  <si>
    <t>Tubo PVC de 2" de presión</t>
  </si>
  <si>
    <t>Tubo PVC de 3" de presión</t>
  </si>
  <si>
    <t>Tubo PVC de 4" de presión</t>
  </si>
  <si>
    <t>Tubo sanitario PVC de 2"</t>
  </si>
  <si>
    <t>Tubo sanitario PVC de 3"</t>
  </si>
  <si>
    <t>Tubo sanitario PVC de 4"</t>
  </si>
  <si>
    <t>Unidades Sanitarias Completas</t>
  </si>
  <si>
    <t>Uniones sanitarias de 1"</t>
  </si>
  <si>
    <t>Uniones sanitarias de 2"</t>
  </si>
  <si>
    <t>Uniones sanitarias de 3"</t>
  </si>
  <si>
    <t>Uniones sanitarias de 4"</t>
  </si>
  <si>
    <t>Varilla Cuadrada de 1/2</t>
  </si>
  <si>
    <t>Varilla redonda lisa de 1/2</t>
  </si>
  <si>
    <t>Varilla Cuadrada de 3/8</t>
  </si>
  <si>
    <t>Varilla redonda de 3/8</t>
  </si>
  <si>
    <t>SERVICIOS GENERALES</t>
  </si>
  <si>
    <t>Unid</t>
  </si>
  <si>
    <t>Kilo</t>
  </si>
  <si>
    <t>Bulto</t>
  </si>
  <si>
    <t>rollo</t>
  </si>
  <si>
    <t>Caneca</t>
  </si>
  <si>
    <t>caja</t>
  </si>
  <si>
    <t>m3</t>
  </si>
  <si>
    <t>juego</t>
  </si>
  <si>
    <t>Juego</t>
  </si>
  <si>
    <t>Pliego</t>
  </si>
  <si>
    <t>Galón</t>
  </si>
  <si>
    <t>Frasco</t>
  </si>
  <si>
    <t>Mts</t>
  </si>
  <si>
    <t>metro</t>
  </si>
  <si>
    <t>Galón </t>
  </si>
  <si>
    <t>Libra</t>
  </si>
  <si>
    <t>Und</t>
  </si>
  <si>
    <t>UNI</t>
  </si>
  <si>
    <t>UND</t>
  </si>
  <si>
    <t>8 MESES</t>
  </si>
  <si>
    <t>SELECCIOIN DERECTA</t>
  </si>
  <si>
    <t>PRODUCTOS DE CALIDAD</t>
  </si>
  <si>
    <t>palas con cabo</t>
  </si>
  <si>
    <t>Picas con cabo</t>
  </si>
  <si>
    <t>machetes No.18" y 20"</t>
  </si>
  <si>
    <t>Alicates para trabajo eléctrico</t>
  </si>
  <si>
    <t>Arrancador de Sodio de 100/400 w</t>
  </si>
  <si>
    <t>Arrancador de Sodio de 70 w</t>
  </si>
  <si>
    <t>Atornillador inalámbrico</t>
  </si>
  <si>
    <t>Balasto Electrónico 2x48 T12 120V Electro control</t>
  </si>
  <si>
    <t xml:space="preserve">Balasto Electrónico 2x96 T12 120V </t>
  </si>
  <si>
    <t>Balasto Electrónico 4x17/4x32</t>
  </si>
  <si>
    <t>Balastro Electrónico 1x36</t>
  </si>
  <si>
    <t>Balastro electrónico 2x 32 T12 120V</t>
  </si>
  <si>
    <t>Base para fotocelda</t>
  </si>
  <si>
    <t>Bombillo Ahorrador 11W</t>
  </si>
  <si>
    <t>Bombillo Ahorrador 20W</t>
  </si>
  <si>
    <t>Bombillo Sodio Tubular 70W</t>
  </si>
  <si>
    <t>Bombillo metal halide de 250W</t>
  </si>
  <si>
    <t>Bombillo metal halide de 400W</t>
  </si>
  <si>
    <t>Bombillo sodio Tubular 150W</t>
  </si>
  <si>
    <t>Borne terminal estanado #2</t>
  </si>
  <si>
    <t>Breaker 1x20 Enchufable Luminex</t>
  </si>
  <si>
    <t>Breaker 1x30 Enchufable Luminex</t>
  </si>
  <si>
    <t>Breaker 1x50 Enchufable Luminex</t>
  </si>
  <si>
    <t>Breaker 2x20 Enchufable Luminex</t>
  </si>
  <si>
    <t>Breaker 2x30 Enchufable Luminex</t>
  </si>
  <si>
    <t>Breaker 2x40 Enchufable Luminex</t>
  </si>
  <si>
    <t>Breaker 2x50 Enchufable Luminex</t>
  </si>
  <si>
    <t>Breaker 3x20 Enchufable Luminex</t>
  </si>
  <si>
    <t>Breaker 3x30 Enchufable Luminex</t>
  </si>
  <si>
    <t>Breaker 3x50 Enchufable Luminex</t>
  </si>
  <si>
    <t>Breaker 3x60 Enchufable Luminex</t>
  </si>
  <si>
    <t>Breaker 3x70 Enchufable Luminex</t>
  </si>
  <si>
    <t>Breaker 3x100 Enchufable Luminex</t>
  </si>
  <si>
    <t>Breaker totalizador 1250 A.</t>
  </si>
  <si>
    <t>Breaker totalizador Regulable 80-125 ABB</t>
  </si>
  <si>
    <t>Breaker totalizador Regulable 150- 200 ABB</t>
  </si>
  <si>
    <t>Cable cobre aislado 500 MCM</t>
  </si>
  <si>
    <t>Cable Cu Aislado #14</t>
  </si>
  <si>
    <t>Cable Cu Aislado THN Pro #2</t>
  </si>
  <si>
    <t>Cable Cu Aislado THN Pro #6</t>
  </si>
  <si>
    <t>Cable Cu Aislado THN Pro #8</t>
  </si>
  <si>
    <t xml:space="preserve">Cable cu dúplex paralelo 2 x 12  </t>
  </si>
  <si>
    <t xml:space="preserve">Cable cu dúplex paralelo 2 x 14 </t>
  </si>
  <si>
    <t>Cable CU Encauchetado 3 X 12</t>
  </si>
  <si>
    <t>Cable CU Encauchetado 3 X 14</t>
  </si>
  <si>
    <t>Cable No.10  THHN/TH Procable viakon #12 AWG 600V.</t>
  </si>
  <si>
    <t>Cable No.12  THHN/TH Procable viakon #12 AWG 600V.</t>
  </si>
  <si>
    <t>Cajas plásticas 5800 PVC Rectangular 2x4</t>
  </si>
  <si>
    <t>Canaleta 20 x 12 adhesiva</t>
  </si>
  <si>
    <t>Chasis 2X48 T:Economico</t>
  </si>
  <si>
    <t>Cinta Vinilo 3M Scotch 33</t>
  </si>
  <si>
    <t>Clavija de Caucho 15A Polo a Tierra</t>
  </si>
  <si>
    <t>Clavija de caucho 3x50A</t>
  </si>
  <si>
    <t>Codo Plastimec 1/2 PVC</t>
  </si>
  <si>
    <t>Codo Plastimec 1 1/4 PVC</t>
  </si>
  <si>
    <t>Codo Plastimec 1 PVC</t>
  </si>
  <si>
    <t>Codo Plastimec 3/4 PVC</t>
  </si>
  <si>
    <t>Codo Plastimec Para Ducto 2 PVC</t>
  </si>
  <si>
    <t>Condensador de 10 MF de 250 V</t>
  </si>
  <si>
    <t>Condensador de 30 MF de 250 V</t>
  </si>
  <si>
    <t xml:space="preserve">Condensador Luminaria 45 MF </t>
  </si>
  <si>
    <t>Cordón Telefónico Resortado 2 Metros</t>
  </si>
  <si>
    <t>Fotocelda 1.000 W.</t>
  </si>
  <si>
    <t xml:space="preserve">Fusibles  Fuente H.15A.  </t>
  </si>
  <si>
    <t xml:space="preserve">Interruptor doble  </t>
  </si>
  <si>
    <t>Interruptor sencillo</t>
  </si>
  <si>
    <t>Interruptor triple</t>
  </si>
  <si>
    <t xml:space="preserve">Cortafríos </t>
  </si>
  <si>
    <t>Extractores industriales</t>
  </si>
  <si>
    <t>Juegos de brocas (Proto)</t>
  </si>
  <si>
    <t>Juego Socket tubo t-8</t>
  </si>
  <si>
    <t>Juego copas de 9 mm a 23 mm y en pulgadas</t>
  </si>
  <si>
    <t>Juegos de llaves mixtas de la 9 mm a 23 mm en pulgadas.</t>
  </si>
  <si>
    <t>Lámpara de sodio 70W</t>
  </si>
  <si>
    <t>Lámpara de sodio150 w 208/220</t>
  </si>
  <si>
    <t>Lámpara Fluorescentes con rejilla 2x20</t>
  </si>
  <si>
    <t>Lámpara Fluorescentes Económica 2x48 sin tubo</t>
  </si>
  <si>
    <t>Lámpara metal 208/220V 400</t>
  </si>
  <si>
    <t>Pinzas de puntas</t>
  </si>
  <si>
    <t>Ponchadora para cable de UTP</t>
  </si>
  <si>
    <t>Probador  ausencia tensión</t>
  </si>
  <si>
    <t>Reflectores 400 w metal Halide</t>
  </si>
  <si>
    <t>Reflectores 250 w metal Halide</t>
  </si>
  <si>
    <t>Reactancia Sodio/Metal Halide 400W. 208/220V (Sin condensa)</t>
  </si>
  <si>
    <t>Reactancia Sodio/Metal 150W 208/220V</t>
  </si>
  <si>
    <t>Reactancia Sodio/Metal Halide 250W. 208/220V (Sin condensa)</t>
  </si>
  <si>
    <t>Regletas blanca de 12 puestos 30A</t>
  </si>
  <si>
    <t>Soket Sline</t>
  </si>
  <si>
    <t>Sisaya 12”</t>
  </si>
  <si>
    <t xml:space="preserve">Tablero 2 Circuitos </t>
  </si>
  <si>
    <t>Tablero 3 Circuitos</t>
  </si>
  <si>
    <t xml:space="preserve">Tapa plástica 5800 rectangular </t>
  </si>
  <si>
    <t>Terminal Anillo Aislado 12-10 Amarillo 1/4</t>
  </si>
  <si>
    <t>Terminal Macho Aislado 12-10 Amarillo</t>
  </si>
  <si>
    <t xml:space="preserve">Terminales hembra  Aislado 12-10 </t>
  </si>
  <si>
    <t>Toma aéreo caucho 15A polo a tierra</t>
  </si>
  <si>
    <t>Toma corriente doble con polo</t>
  </si>
  <si>
    <t>Toma corriente incrustar 50 A</t>
  </si>
  <si>
    <t>Toma teléfono S/P Adhesiva USA</t>
  </si>
  <si>
    <t>Tubo fluorescente 17 w T8</t>
  </si>
  <si>
    <t>Tubo fluorescente 32 w T8</t>
  </si>
  <si>
    <t>Tubo fluorescente T:12 48w</t>
  </si>
  <si>
    <t>Tubo fluorescente T:12 96w</t>
  </si>
  <si>
    <t>Tubo Led T:8 24W</t>
  </si>
  <si>
    <t xml:space="preserve">Tubo Plastimec 1 1/2” PVC </t>
  </si>
  <si>
    <t xml:space="preserve">Tubo Plastimec 1 1/4” PVC </t>
  </si>
  <si>
    <t xml:space="preserve">Tubo Plastimec 1/2” PVC </t>
  </si>
  <si>
    <t xml:space="preserve">Tubo Plastimec 3/4” PVC </t>
  </si>
  <si>
    <t xml:space="preserve">Tubo Telefónico Plastimec 2”X3 </t>
  </si>
  <si>
    <t xml:space="preserve">Varillas de  cobre  CU 5/8  1,80  </t>
  </si>
  <si>
    <t xml:space="preserve">Varillas de  cobre  CU 5/8  2.40   </t>
  </si>
  <si>
    <t>UN</t>
  </si>
  <si>
    <t>UNID</t>
  </si>
  <si>
    <t>ROLLO</t>
  </si>
  <si>
    <t>ELEMENTOS Y MATERIAL DE DE CALIDAD</t>
  </si>
  <si>
    <t>MARCA RECONOCIDAS EN EL MERCADO</t>
  </si>
  <si>
    <t>10 MESES</t>
  </si>
  <si>
    <t>DIRECTA</t>
  </si>
  <si>
    <t>RUBRO: 2021690</t>
  </si>
  <si>
    <t>Copias de llaves para chapas y candados</t>
  </si>
  <si>
    <t>Cerradura 170 ¼ bancaria, 1610 de cadena, 987 de pasador redondo, 396 chapa candado, 370 L-R, pico loro.</t>
  </si>
  <si>
    <t>Cerradura  de perilla.</t>
  </si>
  <si>
    <t>Cerraduras perforadas y cambios de cilindros toda referencia.</t>
  </si>
  <si>
    <t xml:space="preserve">Candados  y corbin grandes  pequeños  </t>
  </si>
  <si>
    <t>Candados  y corbin pequeños</t>
  </si>
  <si>
    <t>Chapas para escritorio o archivador.</t>
  </si>
  <si>
    <t>Para chapas tubulares de archivadores, gavetas y escritorios.</t>
  </si>
  <si>
    <t>Chapas varias de escritorio, archivadores, ordenadores y bibliotecas.</t>
  </si>
  <si>
    <t>Cerraduras tipo bancarias.</t>
  </si>
  <si>
    <t>Cerraduras  de pasador redondo 396 chapa candado.</t>
  </si>
  <si>
    <t>Cerradura  de pasador redondo.</t>
  </si>
  <si>
    <t xml:space="preserve"> Cerradura 864 de pasador cuadrado.</t>
  </si>
  <si>
    <t>Cerraduras sisa y pico loro.</t>
  </si>
  <si>
    <t>Cerradura  pico loro.</t>
  </si>
  <si>
    <t>Cerradura  llave botón pomo de madera.</t>
  </si>
  <si>
    <t>Llave botón pomo metálico.</t>
  </si>
  <si>
    <t>Cerradura  doble llave pomo madera.</t>
  </si>
  <si>
    <t>Cerradura  doble llave pomo metálico.</t>
  </si>
  <si>
    <t>Cerradura  2044, 2045  para escritorio y gavetas</t>
  </si>
  <si>
    <t>Cerradura  pomo madera y aluminio con llave.</t>
  </si>
  <si>
    <t>Cerradura para escritorio</t>
  </si>
  <si>
    <t>Cerradura de ombligo para archivador de madera</t>
  </si>
  <si>
    <t>Cerradura  de resbalón para cantonera eléctrica</t>
  </si>
  <si>
    <t>Arreglo de seguros y mantenimientos de rieles de archivadores</t>
  </si>
  <si>
    <t>Arreglo de puertas de madera caídas(Cambio de Bisagras)</t>
  </si>
  <si>
    <t>Mantenimiento de brazo hidráulico  Ref. 005</t>
  </si>
  <si>
    <t>ELEMENTOS Y MTERIALES DE BUENA CALIDAD Y MARCAS RECONOCIDAS</t>
  </si>
  <si>
    <t>RUBRO: 2012590</t>
  </si>
  <si>
    <t xml:space="preserve">Desinfectante para pisos * 3800 cc </t>
  </si>
  <si>
    <t xml:space="preserve">Detergente en polvo *1000grs </t>
  </si>
  <si>
    <t xml:space="preserve">Cera liquida blanca para pisos * 3800cc </t>
  </si>
  <si>
    <t xml:space="preserve">Limpia vidrios *3000cc </t>
  </si>
  <si>
    <t xml:space="preserve">Gancho para trapero industrial, mango en aluminio </t>
  </si>
  <si>
    <t xml:space="preserve">paños abrasivos de 10*15 cms </t>
  </si>
  <si>
    <t xml:space="preserve">Escoba limpia telarañas </t>
  </si>
  <si>
    <t xml:space="preserve">Chupa para baño </t>
  </si>
  <si>
    <t xml:space="preserve">Churrusco para baño </t>
  </si>
  <si>
    <t xml:space="preserve">Mecha trapero de 400grs </t>
  </si>
  <si>
    <t xml:space="preserve">Papelera para baño </t>
  </si>
  <si>
    <t xml:space="preserve">Bayetilla blanca </t>
  </si>
  <si>
    <t xml:space="preserve">Bayetilla roja </t>
  </si>
  <si>
    <t>Bolsa industrial negra c-2.00 * 10 unidades</t>
  </si>
  <si>
    <t>Bolsa grande negra jumbo c-3 * 10 unidades</t>
  </si>
  <si>
    <t xml:space="preserve">Ambientador baño gel  </t>
  </si>
  <si>
    <t xml:space="preserve">Manguera completa 1/2" con pistola * 30 mts </t>
  </si>
  <si>
    <t>Carro escurridor de traperos * 35 litros</t>
  </si>
  <si>
    <t>Aviso O señal preventiva piso mojado</t>
  </si>
  <si>
    <t>Insecticida en aerosol para zancudos y moscas por 360  Raid para zancudos (**)</t>
  </si>
  <si>
    <t xml:space="preserve">Termo bomba para café, de 1.5 litros </t>
  </si>
  <si>
    <t>Mezcladores * 500 unidades</t>
  </si>
  <si>
    <t>Termo Imusa * 1 litro</t>
  </si>
  <si>
    <t>Greca café cap. 120 tintos</t>
  </si>
  <si>
    <t xml:space="preserve">café tostado y molido * 500 grs tipo 1 </t>
  </si>
  <si>
    <t>GALON</t>
  </si>
  <si>
    <t>KILO</t>
  </si>
  <si>
    <t>PACA</t>
  </si>
  <si>
    <t>METRO</t>
  </si>
  <si>
    <t>ELEMENTOS Y MATERIALES DE CALIDAD Y MARCAS RECONOCIDAS EN EL MERCADO</t>
  </si>
  <si>
    <t>SERVICIOS DE CALIDAD</t>
  </si>
  <si>
    <t>IMPRESOS Y SUSCRIPCIONES ADMINISTRATIVAS</t>
  </si>
  <si>
    <t>SECRETARIA GENERAL, VIVERRECTORIAS Y RECTORIA , DECANATURAS, PROGRAMAS Y OFICINAS</t>
  </si>
  <si>
    <t>RUBRO: 201490</t>
  </si>
  <si>
    <t>ACTIVIDAD</t>
  </si>
  <si>
    <t>FUNCIONAMIENTO, SECRETARIA GENERAL, VIVERRECTORIAS Y RECTORIA , DECANATURAS, PROGRAMAS Y OFICINAS</t>
  </si>
  <si>
    <t>TOTAL</t>
  </si>
  <si>
    <t>SIGLA</t>
  </si>
  <si>
    <t>BIENESTAR SOCIAL - GASTOS VARIOS ADMINISTRATIVOS</t>
  </si>
  <si>
    <t>RUBRO: 201590</t>
  </si>
  <si>
    <t>VICERRECTORIA ADMINISTRATIVA</t>
  </si>
  <si>
    <t>DIVISION DE RECURSOS</t>
  </si>
  <si>
    <t>ACT-OPE-512</t>
  </si>
  <si>
    <t>PORTAL TRIBUTARIO CETA.ORG.CO</t>
  </si>
  <si>
    <t>12 MESES</t>
  </si>
  <si>
    <t>FUCIONAMIENTO VICERRECTORIA ADIMINSTRATIVA</t>
  </si>
  <si>
    <t>FUNCIONAMIENTO DIVISIÓN DE RECURSOS</t>
  </si>
  <si>
    <t>FUCIONAMIENTO DE LA OFICINA DE CENTRO DE TECNOLOGIA Y COMUNICACIONES - CETIC</t>
  </si>
  <si>
    <t>EN VARILLA CUADRADA DE 1" DIM.</t>
  </si>
  <si>
    <t>EN TELAS DE CALIDAD</t>
  </si>
  <si>
    <t>RUBRO: 2011290</t>
  </si>
  <si>
    <t>DESCRIPCIÓN</t>
  </si>
  <si>
    <t>VALOR UNITARIO</t>
  </si>
  <si>
    <t>DEPENDENCIA QUE SOLICITA</t>
  </si>
  <si>
    <t>CANTIDAD</t>
  </si>
  <si>
    <t>RUBRO: 2011590</t>
  </si>
  <si>
    <t>RUBRO: 2012190</t>
  </si>
  <si>
    <t>MODO DE CONTRATACIÓN</t>
  </si>
  <si>
    <t>DURACION DEL CONTRATO</t>
  </si>
  <si>
    <t>RUBRO: 2012290</t>
  </si>
  <si>
    <t>SERVICIO GENERALES - COORDINACION DE TRANSPORTE</t>
  </si>
  <si>
    <t>COMBUSTIBLES Y LUBRICANTES DE CALIDAD</t>
  </si>
  <si>
    <t>ACT-OPE-455</t>
  </si>
  <si>
    <t>RUBRO: 2012390</t>
  </si>
  <si>
    <t>RUBRO:2012490</t>
  </si>
  <si>
    <t xml:space="preserve">10 MESES </t>
  </si>
  <si>
    <t>VALOR ESTIMADO DE LA VIGENCIA 2017</t>
  </si>
  <si>
    <t>OFICINA DE RECURSOS</t>
  </si>
  <si>
    <t>MATERIALES DE ALTA CALIDAD Y MARCAS RECONOCIDAS</t>
  </si>
  <si>
    <t>RUBRO: 2012690</t>
  </si>
  <si>
    <t>RUBRO: 2012790</t>
  </si>
  <si>
    <t>SERVICIO GENRALES - COORDINACION DE TRANSPORTE</t>
  </si>
  <si>
    <t>REPUESTOS DE CALIDAD</t>
  </si>
  <si>
    <t>RUBRO: 2021090</t>
  </si>
  <si>
    <t>RUBRO: 2021190</t>
  </si>
  <si>
    <t>RUBRO: 202390</t>
  </si>
  <si>
    <t>RUBRO: 202690</t>
  </si>
  <si>
    <t>CAJA MENOR</t>
  </si>
  <si>
    <t>SEVICIOS DE CALIDAD</t>
  </si>
  <si>
    <t>SERVICIO DE CALIDAD</t>
  </si>
  <si>
    <t>PARA COMPRAS MENORES</t>
  </si>
  <si>
    <t>RUBRO: 202790</t>
  </si>
  <si>
    <t>12MESES</t>
  </si>
  <si>
    <t>RUBRO: 202890</t>
  </si>
  <si>
    <t>GASTOS DE BIENESTAR PARA LA COMUNIDAD UNIVERSITARIA</t>
  </si>
  <si>
    <t>SERVICIOS GENERALES COORDIANCOÓN DE TRASNPORTE</t>
  </si>
  <si>
    <t>SUMINISTRO DE REPUESTOS DE CALIDAD Y MARCAS RECONOCIDAS</t>
  </si>
  <si>
    <t>DIRECTA O ABREVIADA</t>
  </si>
  <si>
    <t>MATERIALES DE CALIDAD Y MARCAS RECONOCIDAS EN EL MERCADO</t>
  </si>
  <si>
    <t>SERVICIO DE MANTENIMIENTO DE CORTINAS Y PERSIANAS</t>
  </si>
  <si>
    <t>SUMINISTRO E INSTALACIONES DE DIVISIONES MODULARES Y VIRIOS PARA LAS ESTRUTURAS FISICAS SE LA USCO</t>
  </si>
  <si>
    <t>SERVICIO DE LAVADO Y PLANCAH DO DE PREDAS DE LAVORATORIOS FACULTAD DE SALUD, COORDINACION DE DEPORTE Y BIENESTRA UNIVERSITARIO</t>
  </si>
  <si>
    <t>SERVICIO DE FUMIGACIÓN DE LAS SEDES DE LA UNIVERSIDAD SURCOLOMBIANA, INCLUIDAS LAS SEDES DE PITALITO, GARZÓN Y L APLATA</t>
  </si>
  <si>
    <t>SUMINISTRSO Y REPUESTOS Y MANTENIMIENTO PARA AIRES ACONDICIONADOS, EQUIPOS REFRIGERANTES Y DISPENSDORES DE AGUA</t>
  </si>
  <si>
    <t>SUMINISTRSO DE REPUESTO, MENTINIMIETO CORRECTIVO Y PREVENTIVO DE PLANTAS TELLEFONICAS, LINEAS TELEFONICAS, DE LAS SEDES DE LA USCO, INLUIDAS LAS SEDES DE PITALITO, GARZÓN Y LA PLATA</t>
  </si>
  <si>
    <t>SERVICIOS GENERALES Y DIRECCÓN DE SEDES</t>
  </si>
  <si>
    <t>SERVICIO DE LAVADOS Y DESINFECCIÓN DE TANQUES DE TODAS LA SEDES DE LA USCO INCLUIDA LAS SEDES DE PITALITO, GARZÓN Y LA PLATA</t>
  </si>
  <si>
    <t>MANTENIMIENTO PREVENTIVO Y CORRECTIVO, DE ARCHIOVADORES RODANTES DE LA UNIVERSIDAD SURCOLOBIANA</t>
  </si>
  <si>
    <t>MANTENIMIENTO PREVENTIVO Y CORRECTIVO DE MAQUINARIA AGRICOLA</t>
  </si>
  <si>
    <t xml:space="preserve">MANTENIMIENTO PREVENTIVO Y CORRECTIVO, SUMINISTRO DE REPUESTO PARA LOS COMPRESORES, MOTORES ELECTRICOS  Y PLANTAS ELECTRICAS DE LAS SEDES DE LA USCO, INCLUIDAD LAS SEDES DE PITALITO, GARZÓN Y LA PLATA </t>
  </si>
  <si>
    <t>OTROS MANTENIMIENTOS DE LA USCO</t>
  </si>
  <si>
    <t>SERVICIOS GENERALES Y DIRECCÓN DE SEDES Y VICERRECTORIA ADMINISTRATIVA</t>
  </si>
  <si>
    <t>SERVICIOS GENERALES Y VICERRECTORIA ADMINISTRATIVA</t>
  </si>
  <si>
    <t>LICITACIÓN PÚBLICA</t>
  </si>
  <si>
    <t>SERVICIO DE CALIDAD, CON PERSONAL IDONEO Y CAPACITADO</t>
  </si>
  <si>
    <t>RUBRO: 2021790</t>
  </si>
  <si>
    <t>RUBRO: 2022190</t>
  </si>
  <si>
    <t>RUBRO: 2022290</t>
  </si>
  <si>
    <t>SERVICIOS DE INTRNET PARA TODAS LAS SEDES DE LA USCO, INCLUIDAD LAS SEDES DE GARZÓN PITALITO Y LA PLATA</t>
  </si>
  <si>
    <t>CETIC Y VICERRECTORIA ADMINISTRATIVA</t>
  </si>
  <si>
    <t>RUBRO: 2024190</t>
  </si>
  <si>
    <t>VIATICOS PARA EL DESPLAZAMIENTO DE DOCENTES, EMPLEADOS PUBLICOS Y TRABAJADORES OFICIALES</t>
  </si>
  <si>
    <t>GASTOS DE VIAJE  PARA EL DESPLAZAMIENTO DE DOCENTES, EMPLEADOS PUBLICOS Y TRABAJADORES OFICIALES</t>
  </si>
  <si>
    <t>RUBRO: 2024290</t>
  </si>
  <si>
    <t>RUBRO: 2025190</t>
  </si>
  <si>
    <t>RUBRO: 2025290</t>
  </si>
  <si>
    <t xml:space="preserve">SUMINISTRO DE COMBUTIBLES Y LUBRICANTES, REFRIGERANTES, LIQUIDOS ETC. </t>
  </si>
  <si>
    <t>SERVICIO GENERALES VICERRECTORIA ADMINISTRATIVA</t>
  </si>
  <si>
    <t xml:space="preserve">PROPIOS </t>
  </si>
  <si>
    <t>RUBRO: 2013190</t>
  </si>
  <si>
    <t>RUBRO: 2021390</t>
  </si>
  <si>
    <t>SERVICIO DE VIGILANCIA PRIVADAPARA TODAS LAS SEDE DE LA USCO, INCLUIDAS LAS SEDES DE PITALITO, GARZÓN Y LA PLATA</t>
  </si>
  <si>
    <t>SERVICIO DE ASEO INTEGRAL PARA TODAS LAS SEDES INCLUIDAS LAS SEDES DE PITALITO, GARZON Y LA PLATA</t>
  </si>
  <si>
    <t>VICERRECTORIA ADMINISTRATIVA VICERRECTORIA ACADEMECA, RECTORIA , VICERRECTORIA DE INVESTIGACIONES</t>
  </si>
  <si>
    <t>IMPRESOS Y PUBLICACIONES DE LA USCO</t>
  </si>
  <si>
    <t>RUBRO: 301590</t>
  </si>
  <si>
    <t>SEGÚN SOLICITUD</t>
  </si>
  <si>
    <t>ACTIVIDADES VARIAS DE BIENESTAR UNIVERSITARIO</t>
  </si>
  <si>
    <t>VICERRECTORIA ADMINISTRATIVA - BIENESTAR UNIVERSITARIO</t>
  </si>
  <si>
    <t>GASTOS VARIOS</t>
  </si>
  <si>
    <t>VICERRECTORIA ADMINISTRATIVA -DIVISIOIN DE RECURSOS Y SERVICIOS GENERALES</t>
  </si>
  <si>
    <t>ADQUISICION DE LEMENTOS DE PROCTECCION PERSONAL Y OTROS</t>
  </si>
  <si>
    <t xml:space="preserve">VICERRECTORIA ADMINISTRATIVA -DIVISIÓN DE BIENESTAR UNIVESITARIO </t>
  </si>
  <si>
    <t>RUBRO: 301990</t>
  </si>
  <si>
    <t>ACTIVIDADES CON LA COMUNIDAD UNIVERSITARIA ESTUDIANTIL</t>
  </si>
  <si>
    <t>PLANEACIÓN Y VICERRECTORIA ADMINISTRATIVA, VICERRECTORIA DE INVETIGACIÓN Y ACADEMICA</t>
  </si>
  <si>
    <t xml:space="preserve">LICITACIÓN PUBLICA </t>
  </si>
  <si>
    <t xml:space="preserve">CAJA MENOR </t>
  </si>
  <si>
    <t>FUNCIONAMIENTO GRANJA EXPERIMENTAL</t>
  </si>
  <si>
    <t>RUBRO: 2013290</t>
  </si>
  <si>
    <t>OFICINAS VARIAS DE LA UNIVESIDAD SURCOLOMBIANA</t>
  </si>
  <si>
    <t>VARIAS OFICINAS DE LA UNIVERSIDAD SURCOLOMBIANA</t>
  </si>
  <si>
    <t>RUBRO: 2025490</t>
  </si>
  <si>
    <t>ITEM</t>
  </si>
  <si>
    <t>DETALLE</t>
  </si>
  <si>
    <t>UNID.</t>
  </si>
  <si>
    <t>VALOT TOTAL</t>
  </si>
  <si>
    <t>FUENTES DE LOS ECURSOS</t>
  </si>
  <si>
    <t>COMPRAS DE INSUMOS, REPUESTOS  MAQUINARIA AGRICOLA, LUBRICANTES Y COMBUSIBLE</t>
  </si>
  <si>
    <t>FACUTAD DE INGENIERIA AGRICOLA COORDINACION GRANJA</t>
  </si>
  <si>
    <t>RUBRO: 40190</t>
  </si>
  <si>
    <t>COMUNICACIÓN Y TRANSPORTE DE ENCOMIENDAS Y CORESPONDENCIA</t>
  </si>
  <si>
    <t>UNIVERSIDAD SURCOLOMBIANA, PLAN DE COMPRAS 2018, IMPRESOS Y SUSCRIPCIONES ADMINISTRATIVAS</t>
  </si>
  <si>
    <t>UNIVERSIDAD SURCOLOMBIANA, PLAN DE COMPRAS 2018, BIENESTAR SOCIAL</t>
  </si>
  <si>
    <t>UNIVERSIDAD SURCOLOMBIANA PLAN DE COMPRAS 2018,  EQUIPOS Y PROCESAMIENTO DE DATOS</t>
  </si>
  <si>
    <t xml:space="preserve">UNIVERSIDAD SURCOLOMBIANA PLAN DE COMPRAS 2018, MUEBLES Y ENSERES </t>
  </si>
  <si>
    <t>, UN IVERSIDAD SURCOLOMBIANA, PLAN DE COMPRAS 2018, EQUIPOS  Y ACCESORIOS DE COMUNICACIÓN</t>
  </si>
  <si>
    <t>UNIVERSIDAD SURCOLOMBIANA PLAN DE COMPRAS 2018, EQUIPOS Y MAQUINAS DE OFICINA</t>
  </si>
  <si>
    <t>UNIVERSIDAD SURCOLOMBIANA, PLAN DE COMPRAS 2018, SISTEMA DE SEGURIDAD</t>
  </si>
  <si>
    <t>UNIVERSIDAD SURCOLOMBIANA, PLAN DE COMPRAS VIGENCIA 2018, MATERIALES ELECTRICOS</t>
  </si>
  <si>
    <t>UNIVERSIDAD SURCOLOMBIANA, PLAN DE COMPRAS VIGENCIA 2018,COMBUSTIBLES</t>
  </si>
  <si>
    <t>UNIVERSIDAD SURCOLOMBIANA, PLAN DE COMPRAS VIGENCIA 2018,    PAPELARIA GENERAL Y ELEMENSTOS DE OFICINA</t>
  </si>
  <si>
    <t>UNIVERSIDAD SURCOLOMBIANA, PLAN DE COMPRAS VIGENCIA 2018, CINTAS, CARTUCHOS, TONER Y RECARGAS</t>
  </si>
  <si>
    <t>UNIVERSIDAD SURCOLOMBIANA, PLAN DE COMPRAS 2018, ELEMENTOS DE ASEO</t>
  </si>
  <si>
    <t>UNIVERSIDAD SURCOLOMBIANA, PLAN DE COMPRAS VIGENCIA 2018, DOTACIÓN ADMINISTRATIVA</t>
  </si>
  <si>
    <t>UNIVERSIDAD SURCOLOMBIANA, PLAN DE COMPRAS VIGENCIA 2018, HERRAMIENTAS Y ACCESORIOS</t>
  </si>
  <si>
    <t>UNIVERSIDAD SURCOLOMBIANA, PLAN DE COMPRAS VIGENCIA 2018, MANTENIMIENTO GENERAL</t>
  </si>
  <si>
    <t>UNIVERSIDAD SURCOLOMBIANA, PLAN DE COMPRAS VIGENCIA 2018, REPUESTOS VARIOS</t>
  </si>
  <si>
    <t>UNIVERSIDAD SURCOLOMBIANA, PLAN DE COMPRAS VIGENCIA 2018,OTROS GASTOS POR SERVICIOS</t>
  </si>
  <si>
    <t>UNIVERSIDAD SURCOLOMBIANA, PLAN DE COMPRAS VIGENCIA 2018,GASTOS DESPLAZAMIENTO DE LAS SEDES</t>
  </si>
  <si>
    <t>UNIVERSIDAD SURCOLOMBIANA, PLAN DE COMPRAS VIGENCIA 2018, ARRENDAMIENTOS</t>
  </si>
  <si>
    <t>UNIVERSIDAD SURCOLOMBIANA, PLAN DE COMPRAS VIGENCIA 2018, COMUNICACIÓN Y TRANSPORTE</t>
  </si>
  <si>
    <t>UNIVERSIDAD SURCOLOMBIANA, PLAN DE COMPRAS VIGENCIA 2018, SEGUROS</t>
  </si>
  <si>
    <t>UNIVERSIDAD SURCOLOMBIANA, PLAN DE COMPRAS VIGENCIA 2018, BIENESTAR SOCIAL</t>
  </si>
  <si>
    <t>UNIVERSIDAD SURCOLOMBIANA, PLAN DE COMPRAS VIGENCIA 2018,VEHICULOS</t>
  </si>
  <si>
    <t>UNIVERSIDAD SURCOLOMBIANA, PLAN DE COMPRAS VIGENCIA 2018, OTROS MANTENIMIENTOS</t>
  </si>
  <si>
    <t>UNIVERSIDAD SURCOLOMBIANA, PLAN DE COMPRAS VIGENCIA 2018, INTERNET</t>
  </si>
  <si>
    <t>UNIVERSIDAD SURCOLOMBIANA, PLAN DE COMPRAS VIGENCIA 2018, GASTOS DE VIAJE</t>
  </si>
  <si>
    <t>UNIVERSIDAD SURCOLOMBIANAPLAN DE COMPRAS VIGENCIA 2018, PÚBLICACIONES</t>
  </si>
  <si>
    <t>UNIVERSIDAD SURCOLOMBIANA,PLAN DE COMPRAS VIGENCIA 2018, FOTOCOPIAS</t>
  </si>
  <si>
    <t>UNIVERSIDAD SURCOLOMBIANAPLAN DE COMPRAS VIGENCIA 2018, IMPRESOS</t>
  </si>
  <si>
    <t>UNIVESIDAD SURCOLOMBIANA,MPLAN DE COMPRAS VIGENCIA 2018, EVENTOS ACTIVIDADES ESTUDIANTILES</t>
  </si>
  <si>
    <t>UNIVERSIDAD SUCOLOMBIANA, PLAN DE COMPRAS VIGENCIA 2018, FONDO BIENESTAR SOCIAL</t>
  </si>
  <si>
    <t>UNIVERSIDAD SURCOLOMBIANA, PLAN DE COMPRAS VIGENCIA 2018, SALUD OCUPACIONAL</t>
  </si>
  <si>
    <t>UNIVERSIDAD SURCOLOMBIANA, PLAN DE COMPRAS VIGENCIA 2018, VIATICOS</t>
  </si>
  <si>
    <t>VALOR ESTIMIDO PARA 2018</t>
  </si>
  <si>
    <t>DESCRIPCION DE LOS EQUIPOS</t>
  </si>
  <si>
    <t>COMPUTADOR PORTATIL  3.13" ALTO RENDIEMIENTO</t>
  </si>
  <si>
    <t>PARA EL NORMAL UNCIONAMIENTO DE OFICINAS, COORDINACIONES, JEFES DE PROGARMAS, JEFES DE OFICINAS, DECANATURAS, VICERRECTORIAS Y OTRAS</t>
  </si>
  <si>
    <t>COORDINACION DE INVESTIGACIÓN GERMAN DARIO FALLA</t>
  </si>
  <si>
    <t>COMPUTADOR PERSONAL HP COMPAQ 400 G3 SMALL $1800000</t>
  </si>
  <si>
    <t>OFIINA DE COMUNICACIÓN SOLCIAL Y PERIODISMO</t>
  </si>
  <si>
    <t>FUNCIONAMIENTO OFICINA DE COMUNICACIÓN SOCIAL Y PERIODISMO</t>
  </si>
  <si>
    <t>EN MADERA FORRADOS EN FORMICA CON TAPA Y CHAPA</t>
  </si>
  <si>
    <t>BIBLIOTECA MADERA</t>
  </si>
  <si>
    <t>VARIAS OFICINAS INCLUIDAS LAS SEDES DE GARZON, PITALITO Y LA PLATA</t>
  </si>
  <si>
    <t>EN MADERA IVIDRIO DOS PUERTAS, LINEA NOVA MODUARTE.14144,56</t>
  </si>
  <si>
    <t>DIVISIONES  MODULARES X MT. CUADRADO</t>
  </si>
  <si>
    <t>DE MADREA FORRADOS EN FORMICA CON BORDES EN CAUCHO Y MODULO DE ARCHIVO TRES GAVETAS</t>
  </si>
  <si>
    <t>PROGRAM ADE PSICOLOGIA Y SEDE DE GARZÓN</t>
  </si>
  <si>
    <t>SED DE GARZÓN</t>
  </si>
  <si>
    <t>FACULTAD DE CIENCIAS JURIDICAS Y POLITICAS Y BIENESTAR UNIVERSITARIO</t>
  </si>
  <si>
    <t>SILLA PLEGABLE BLANCA TEC. 105370</t>
  </si>
  <si>
    <t>SEDE DE GARZÓN Y OFICINA DE PLANEACIÓN</t>
  </si>
  <si>
    <t>EN MADERA DE ALTA CALIDAD COLOR NATURAL CON GAVETAS A UN COSTADO</t>
  </si>
  <si>
    <t>EN MADERA LINEA 800 CONGAVETAS A UN COSTADO</t>
  </si>
  <si>
    <t>EN TRIPLEX DE 15 CM DE EXPESO FARRADOS EN FORMICA BLANCA, CUADRICULADO</t>
  </si>
  <si>
    <t>SEDE GARZÓN</t>
  </si>
  <si>
    <t xml:space="preserve">SEDE GARZÓN  </t>
  </si>
  <si>
    <t>ALTO CAHO DE 2,20  ANCHO 1,5 M. ESPACION DE 30 CM. EN MADEREA</t>
  </si>
  <si>
    <t>EN MADERA  CON PUERTA , FORRADO EN FORMICA IMPERMEABLE, MANIJA Y CHAPA</t>
  </si>
  <si>
    <t xml:space="preserve">EN MADERA OVALADA DE 6 PUESTOS PARA REUNIONES COLOR NATURAL </t>
  </si>
  <si>
    <t>MESA POTATIL O PLEGABLE</t>
  </si>
  <si>
    <t>ETERNA BLANCAO RIMAX</t>
  </si>
  <si>
    <t>COORDINACION DE DPORTES</t>
  </si>
  <si>
    <t>BIENESTAR UNIVERSITARIO - AREAS PSICOLOGIA</t>
  </si>
  <si>
    <t>MESA PARA COMPUTADOR</t>
  </si>
  <si>
    <t>LAB. TECNOLOGIA CONTABLE DE ECONOMIA</t>
  </si>
  <si>
    <t>SILLA GIRATORIA ESPALDAR EN MALLA</t>
  </si>
  <si>
    <t>MESA MODULARES</t>
  </si>
  <si>
    <t>FACULTAD CIENCIAS SOCIALES Y HUMANAS - LAB. T.V.</t>
  </si>
  <si>
    <t>ENTUBO METALICO DE ALCALCALIDA CALIBRE 1.5 MM. EN MADERA CON FRONTAL</t>
  </si>
  <si>
    <t>EN TUBO CUADRADO DE ESPESOR 1.5 MM Y MADERA FORRADA EN FORMICA COLOR NATURAL</t>
  </si>
  <si>
    <t>REF : EG050 ESPALDAR EN MALLA ASIENTO EN ESPUMA</t>
  </si>
  <si>
    <t>PERSIANAS ACRILICAS</t>
  </si>
  <si>
    <t xml:space="preserve">DE ALTO 1.5 CON UNA DIMENSIÓN DE 3,5X2,5, CON SOPORTE METALICOS Y EN MEDERA DE ALTA RESISTENCIA PARA EVENTOS </t>
  </si>
  <si>
    <t>CANITDAD</t>
  </si>
  <si>
    <t>MODELO KX-TGC632</t>
  </si>
  <si>
    <t>VARIAS OFICINAS DE LA UNIVERSIDAD SURCOLOMBIANA INCLUIDAS LAS SEDES DE GARZÓN, PITALITO Y LA PLATA</t>
  </si>
  <si>
    <t>FILMADORA FDRAX53 HANDYCAM</t>
  </si>
  <si>
    <t>DISCO DURO DE 1 LETRA</t>
  </si>
  <si>
    <t>DISCO DURO  3 TB 5400 RPM</t>
  </si>
  <si>
    <t xml:space="preserve">TABLES IPAD 64 GB </t>
  </si>
  <si>
    <t>SISTEMA INTERNO DE SITOFONOS</t>
  </si>
  <si>
    <t>TV 55"</t>
  </si>
  <si>
    <t>TV 70"</t>
  </si>
  <si>
    <t>VIDEO BEAM PORTATIL TECNOLOGIA 3LCD</t>
  </si>
  <si>
    <t xml:space="preserve">SCANNER INTER PRICE 7500 </t>
  </si>
  <si>
    <t>CAMARA WEG USB LEDS MICROFONO</t>
  </si>
  <si>
    <t>CAMARA DE VIDEO</t>
  </si>
  <si>
    <t>CAMARAS DE SEGURIDAD</t>
  </si>
  <si>
    <t>CONMUTADOR TELEFONOS</t>
  </si>
  <si>
    <t xml:space="preserve">MICROFONO CONDENSADOR AKG </t>
  </si>
  <si>
    <t>MIROFONOS INALAMBRICOS</t>
  </si>
  <si>
    <t>PARLANTES DE SONIDO GENIUS SW.G2.1 1250 SUBWOOFER 38W</t>
  </si>
  <si>
    <t>PARLANTES SALONES</t>
  </si>
  <si>
    <t xml:space="preserve">CONSOLA </t>
  </si>
  <si>
    <t>CABINAS DE SONIDO</t>
  </si>
  <si>
    <t>KIT TV PARA INCO TELEVISORES</t>
  </si>
  <si>
    <t xml:space="preserve">REPRODUCTOR DVD </t>
  </si>
  <si>
    <t xml:space="preserve">CIBERDOMO 2400 CCD </t>
  </si>
  <si>
    <t>BASE PARA MICROFONO DE ESCRITORIO</t>
  </si>
  <si>
    <t>SUPERDRIVE USB APLLE</t>
  </si>
  <si>
    <t xml:space="preserve">TARJETA IMPORTADA FULL HD C027 </t>
  </si>
  <si>
    <t>TARJETA MEMORIA LEXAR 18 GB COMPACF FLASH</t>
  </si>
  <si>
    <t>TARJETA MEMORIA LEXAR 18 GB SD</t>
  </si>
  <si>
    <t>CABLE MINU PLUG AMINI PLUG</t>
  </si>
  <si>
    <t>CONVERTIDOR DE PLUG A MINI PLUG</t>
  </si>
  <si>
    <t>CABLE ESTEREPO MACHO 3.5 M A 2RCA MACHO SEDOX 1O M</t>
  </si>
  <si>
    <t>CABEL CONVERTIDOR  DE PLUG 3.5 A RECA 1.5M</t>
  </si>
  <si>
    <t>AUDIFONOS DIADEMA  GENIUS HS 500 CON CONTROL DE VLOLUMEN</t>
  </si>
  <si>
    <t xml:space="preserve">TRAJETA IMPORTADA SATANDAR T PC-E 1X2 FIREWIRE+CABLE </t>
  </si>
  <si>
    <t>OFICINA DE PLANEACION</t>
  </si>
  <si>
    <t xml:space="preserve">SEDE GARZÓN </t>
  </si>
  <si>
    <t>SALA DE PRENSA COMUNICACIÓN SOCIAL.</t>
  </si>
  <si>
    <t>SALA DE PRENSA COMUNICACIÓN SOCIAL. LABO. DE COMUNICACIÓN SOCIAL PITALITO</t>
  </si>
  <si>
    <t>COORDINACION DE INVESTIGACION- GERMAN DARIO HEMBUS</t>
  </si>
  <si>
    <t>SALA DE PRENSA COMUNICACIÓN SOCIAL. - LAB. DE COMUNICACIÓN SOCIAL PITALITO</t>
  </si>
  <si>
    <t>DOTORA DO CIENCIAS DE LA SALUD Y FACULTAD DE SALUD</t>
  </si>
  <si>
    <t>IMRESORA FOTOGRAFICA DE TANQUES DE TINTA DC, DVD L800</t>
  </si>
  <si>
    <t>IMPRESORA HP LASSET P 1006</t>
  </si>
  <si>
    <t>IMPRESORA LASSER JET 600 M601</t>
  </si>
  <si>
    <t>IMPRESORA LASSER JET HP M201 CF-465A</t>
  </si>
  <si>
    <t>IMRESORA SAMSUNG</t>
  </si>
  <si>
    <t>IMPRESORA DE TINTA</t>
  </si>
  <si>
    <t>CALCULADORA GX 165 DIGITS, TWO WAY POWER</t>
  </si>
  <si>
    <t>NEVERA 10 PIES</t>
  </si>
  <si>
    <t>SOPORTE PARA TV</t>
  </si>
  <si>
    <t>AIRE ACONDICIONADO 18000 BTU</t>
  </si>
  <si>
    <t>AIREA ACONDICIONADO 24000 BTU</t>
  </si>
  <si>
    <t>AIREA AOCNDICIONADO 36000 BTU</t>
  </si>
  <si>
    <t>MAUSE INALAMBRICO</t>
  </si>
  <si>
    <t>DSIPENSADOR DE AGUA</t>
  </si>
  <si>
    <t>AIRE ACONDICIONADO 60000 BTU AIDITORI</t>
  </si>
  <si>
    <t>PROYECTOR EPSON LCD 3500 LUMINES</t>
  </si>
  <si>
    <t>AIREA ACONDIONADO 12000 BTU</t>
  </si>
  <si>
    <t>SOPORTE VIDEO BEAM</t>
  </si>
  <si>
    <t>TELEFONOS FIJOS KX-TS500</t>
  </si>
  <si>
    <t xml:space="preserve">Sony Cyber-shot Dsc-w510 12.1 Mp Cámara Fotográfica Digital </t>
  </si>
  <si>
    <t xml:space="preserve">CAMARA FOTOGRAFICA </t>
  </si>
  <si>
    <t>ICDX X 1000 CET470</t>
  </si>
  <si>
    <t>REF: ICD PX-470</t>
  </si>
  <si>
    <t>Fdr-ax53 Uhd 4k Handycam (deluxe Bundle)</t>
  </si>
  <si>
    <t>REF:ICD - PX 333</t>
  </si>
  <si>
    <t>Disco Duro 4tb I Wd Purple Ntellipower Surveillance</t>
  </si>
  <si>
    <t>Disco Duro 4tb Sata Para Pcs / Dvrs / Nas- Seagate/ Western</t>
  </si>
  <si>
    <t>Ipad Pro 10,5, Wifi 64gb,space Gray</t>
  </si>
  <si>
    <t>Estacion Portero Kit Con 2 Citofonos Genway Wl-06dd/2d X 2</t>
  </si>
  <si>
    <t>Televisor  4k Hdr De 55¨ Android Tv - Xbr-55x907e</t>
  </si>
  <si>
    <t>Kd70x690e 70 Pulgadas 4k Ultra Hd Tv Led Inteligente (m</t>
  </si>
  <si>
    <t>Proyector Video Beam Epson G7200w Hd 7500l 360º Hdmi 3lcd</t>
  </si>
  <si>
    <t>Hp Escáner Plano Scanjet Enterprise Flow 7500 L2725b</t>
  </si>
  <si>
    <t>Cámara Web Cimkiz A871, Webcam Usb, Cámara Web Cámara De So</t>
  </si>
  <si>
    <t>Camara Canon De Video Hf R82</t>
  </si>
  <si>
    <t>Kit Hikvison Dvr Turbo Hd 8ch + 8 Camaras De Seguridad T Hd</t>
  </si>
  <si>
    <t>Conmutador Poe + Websmart Fast Ethernet De 28 Puertos</t>
  </si>
  <si>
    <t>Micrófono Para Estudios De Grabación Akg P220 Condensador</t>
  </si>
  <si>
    <t>Microfono Inalambrico Vhf Dos Canales Studio Z Gw-3002</t>
  </si>
  <si>
    <t>Sistema De Sonido 2.1 Genius Sw-g2.1 1250 Gaming 38watts Rms</t>
  </si>
  <si>
    <t>Sistema De Sonido Multimedia 5.1 Bluetooth · Home Theater Fm</t>
  </si>
  <si>
    <t>Mixer Behringer Xenyx 1202 Consola Mezclador</t>
  </si>
  <si>
    <t>Cabina Activa Kohlt Usa 15a 800 Wts Control Sd</t>
  </si>
  <si>
    <t>Directv Prepago Hd Kit Para 2 Tvs Autoinstalable</t>
  </si>
  <si>
    <t>Dvd Sony Usb - Sr370/bce32 Marca Sony - Reproductores De Tec</t>
  </si>
  <si>
    <t>Base Pesada Para Micrófono Escritorio Con Abrazadera</t>
  </si>
  <si>
    <t>Reproductor De Discos Blu-ray Usb 3.0, Lector Externo De...</t>
  </si>
  <si>
    <t>Esky Usb Externa Ranura Dvd Unidad Cd-rw Superdrive De Apple</t>
  </si>
  <si>
    <t>REF: LEXAR 18 GB COMPAC FLASH</t>
  </si>
  <si>
    <t>Telefax Panasonic - Fax, Teléfono, Telefax</t>
  </si>
  <si>
    <t>REF: FELL HD C027</t>
  </si>
  <si>
    <t>REF: LEXAR 18 GB SD</t>
  </si>
  <si>
    <t>MINI PLUS A MINI PLUS</t>
  </si>
  <si>
    <t>DE PLUS A MINI PLUS</t>
  </si>
  <si>
    <t>REF: RCA MACJO SEDOX</t>
  </si>
  <si>
    <t>DE PLUG 305 A  RECA 1,5 M</t>
  </si>
  <si>
    <t xml:space="preserve">REF: GENIOS HS 500 CON </t>
  </si>
  <si>
    <t>REF: T PC E 1X2 FIREW + CABLE</t>
  </si>
  <si>
    <t>Impresora Multifuncion Epson Xp-830 Wifi Cd/dvd Fotografica</t>
  </si>
  <si>
    <t>Impresora Laser Hp 1006</t>
  </si>
  <si>
    <t>Impresora Laser Hp 600 M603 Duplex Sin Tone</t>
  </si>
  <si>
    <t>Hp Laserjet Pro Wireless M201dw Impresora Monocromo, (cf456</t>
  </si>
  <si>
    <t>Impresora Laser Multifuncional Mono 4in1 Samsung Sl-m3370fd</t>
  </si>
  <si>
    <t>Hp Impresora Todo En Uno Pro 8720 D9l19a + Obsequio Resma</t>
  </si>
  <si>
    <t>Calculadora, 12 Dígitos Solar Dual Two Way Power Pantalla</t>
  </si>
  <si>
    <t>Ups Apc Back-ups Bx1000l-lm 1000va/600w 120v 145 Minutos</t>
  </si>
  <si>
    <t>Soporte Para Tv Desde 20 Hasta 60 Pulgada</t>
  </si>
  <si>
    <t>Soporte Móvil Para Vídeo Beam En Aluminio Giro 360°</t>
  </si>
  <si>
    <t>Aire Acondicionado Mabe 127v A 12000btu Blanco Mmt12cabw1</t>
  </si>
  <si>
    <t>Aire Acondicionado Lg 18000btu Dual Inverter Lg Vm182c7</t>
  </si>
  <si>
    <t>ire Acondicionado Ge 220v De 24000btu Espejo Mgi24cdbc3</t>
  </si>
  <si>
    <t>ire Acondicionado Cooltech 36000 Btu Inverter Blanco</t>
  </si>
  <si>
    <t>Hp Mouse Inalámbrico 200 + Audífonos Hp 150 Negro 1ec72la</t>
  </si>
  <si>
    <t>Dispensador De Agua Electrolux Modelo Eql153mbhw</t>
  </si>
  <si>
    <t>Aire Acondicionado Carrier Xpower Multi Inverter 60000 Btu</t>
  </si>
  <si>
    <t>Proyector De Video 3500 Lumens Cine Wireless Home Cinema L23</t>
  </si>
  <si>
    <t>GALON, FRASCO</t>
  </si>
  <si>
    <t>DE ALTA CALIDAD</t>
  </si>
  <si>
    <t>DE VARIO COLORES</t>
  </si>
  <si>
    <t>TIPO TIJERA DE ALTA CALIDAD</t>
  </si>
  <si>
    <t>NEGRA</t>
  </si>
  <si>
    <t>TABLEROS INTELIGENTES O PANTALLAS IMPERATIVAS</t>
  </si>
  <si>
    <t xml:space="preserve">PNATALLA DE 70" CON SOPORTE </t>
  </si>
  <si>
    <t>FUCIONAMIENTO DE OFICNAS, DECANATURAS, VICERRECTORIAS,  RECTORIA, CORDINACIONES Y PROGAMAS INCLUIDAS LAS SEDE DE GARZÓN, PITALITO Y L APLATA</t>
  </si>
  <si>
    <t>MANTENIMIENTO Y ADECUACION DE LA INFRAESRUCTURA FISIC, SONAS VERDES, CAMPOS DEPORTIVOS Y EQUIPOS Y MAQUINARIA</t>
  </si>
  <si>
    <t>REPUESTOS VARIO S PARA LOS VEHICULOS OFICIALES DE  LA UNIVERSIDAD SURCOLOMBIANA</t>
  </si>
  <si>
    <t xml:space="preserve">REPUESTOS DE ALTA CALIDAD Y MARCAS RECONOCIDAS </t>
  </si>
  <si>
    <t xml:space="preserve">OTROS GASTOS POR SERVICIOS </t>
  </si>
  <si>
    <t>GASTOS DESPLAZAMIENTO A LAS SEDES DE LA UNIVERSIDAD SURCOLOMBIANA</t>
  </si>
  <si>
    <t>ARRENDAMIENTOS DE INMUEBLES PARA FUNCIONAMIENTO DE OFICINAS, PARA EL DESARROLLO DE LA ADMINISTRACIÓN , LA ACADEMIA Y LA INVESTIGACIÓN</t>
  </si>
  <si>
    <t>SEGUROS - VARIOS (VEHICULOS, PLANA FISICA, EQUIPOS Y RECURSO HUMANO)</t>
  </si>
  <si>
    <t>ADUISICION Y SUMINISTRO DE REPUESTOS VARIOS DE ALTA CALIDAD,  PARA  VEHICULOS Y MOTOS OFICIALES DE LA DE LA UNIVERSIDAD SURCOLOMBIANA</t>
  </si>
  <si>
    <t>SUMINISTRO DE ABONOS, VENENOS Y FUNGICIDAS, PARA EL CAMPO DE FUTBOL, ZONAS VERDES, PARQUEADEROS, AREAS ALEDAÑAS DE LA SEDE CENTRAL, GRANJA EXPERIMENTAL,  INCLUIDA LAS SEDES DE PTILITO, GARZÓN Y LA PLATA</t>
  </si>
  <si>
    <t>UNIVERSIDAD SURCOLOMBIANA, PLAN DE COMPRAS VIGENCIA 2018, CONTRATO DE CELADURIA Y ASEO</t>
  </si>
  <si>
    <t>UNIVERSIDAD SURCOLOMBIANA, PLAN DE COMPRAS VIGENCIA 2018, SERVICIOS PUBLICOS SEDES</t>
  </si>
  <si>
    <t xml:space="preserve">PROCESADOR INTEL 6200U 2,0 GHZ </t>
  </si>
  <si>
    <t>RUBRO: 2011390</t>
  </si>
  <si>
    <t>RUBRO:2011490</t>
  </si>
  <si>
    <t>UNIVERSIDAD SURCOLOMBIANA, PLAN DE COMPRAS VIGENCIA 2018,  AREA DE PROMOSIÓN SOCIOECONOMICA</t>
  </si>
  <si>
    <t>RUBRO: 1117051</t>
  </si>
  <si>
    <t>CONTRUCCIONES, ADECUACIONES, Y MANTENIMIENTO SEDES USCO, INCLUIDAS LAS SEDES DE GARZÓN, PITALITO Y LA PLATA</t>
  </si>
  <si>
    <t>RUBRO: 211 7051</t>
  </si>
  <si>
    <t xml:space="preserve">ADQUISICIÓN DE MATERIALES Y  EQUIPOS EDUCATIVOS </t>
  </si>
  <si>
    <t>UNIVESIDAD SURCOLOMBIANA, PLAN DE COMPRAS VIGENCIA 2018, GRANJA EXPERIMENTAL, ( INSUMOS, JORNALES, MANTENIMIENTO Y COMBUSTIBLES)</t>
  </si>
  <si>
    <t>RUBRO: 2011190</t>
  </si>
  <si>
    <t xml:space="preserve">TARIMA METALICA </t>
  </si>
  <si>
    <t>CARPETA CUATRO SOLAPAS DESACIFICADA, COLOR AMARILLA,</t>
  </si>
  <si>
    <t>GANCHO MARIPOSA N2</t>
  </si>
  <si>
    <t>LAPIZ CORRECTOR</t>
  </si>
  <si>
    <t>PAPEL BLANCO CARTA   DE EXPESOR 0,75 MM.</t>
  </si>
  <si>
    <t>PAPEL BLANCO OFICIO DE EXPESOR 0,75 MM.</t>
  </si>
  <si>
    <t>PAPEL BLANCO CARTA, MEMBRETEADO CON EL LOGO DE LA UNIVERSIDAD Y SU RESPETIVO COLOR DE ESPSOR 0,7 MM</t>
  </si>
  <si>
    <t>SOBRE MANILA TAMAÑO CARTA, COLOR AMARILLO</t>
  </si>
  <si>
    <t>SOBRE MANILA OFICIO COLOR AMARILLO</t>
  </si>
  <si>
    <t>CINTA TRANSPARENTE ANCHA</t>
  </si>
  <si>
    <t>CINTA TRANSPARENE DELGADA</t>
  </si>
  <si>
    <t>MARCADOR SHARPIE</t>
  </si>
  <si>
    <t xml:space="preserve">CHINCHE X 50 </t>
  </si>
  <si>
    <t>MEMEMORIAS USB 32 GB</t>
  </si>
  <si>
    <t>LEGAJADOR CAFÉ</t>
  </si>
  <si>
    <t>REGLAS METALICAS DE 30 CM</t>
  </si>
  <si>
    <t>CARTULINA PLIEGO POR PLIEGOS SURTIDA, VARIOS COLORES</t>
  </si>
  <si>
    <t>CARTULINA POR OCTOVAS VAIOS COLORES</t>
  </si>
  <si>
    <t>MINAS PARA PORTAMINA 0.7</t>
  </si>
  <si>
    <t>COSEDORA BATES 550</t>
  </si>
  <si>
    <t>SACAGANCHO TIPO TIJERA,METALICO</t>
  </si>
  <si>
    <t>BISTURY CACHA METALICA</t>
  </si>
  <si>
    <t>CALCULADORA DE 16 DIGITOS</t>
  </si>
  <si>
    <t>GANCHOS COSEDORA  INDUSTRIAL</t>
  </si>
  <si>
    <t>LAPICERO UNIBOLL</t>
  </si>
  <si>
    <t>PILAS AA</t>
  </si>
  <si>
    <t>LIBROS TRES COLUMNAS</t>
  </si>
  <si>
    <t>POSTY DE COLORES</t>
  </si>
  <si>
    <t>BORRADOR NATA</t>
  </si>
  <si>
    <t>PINCEL No 9, 10 y 12 50 DE C/U</t>
  </si>
  <si>
    <t>LAPICERO ROJO</t>
  </si>
  <si>
    <t>PEGANTE - COLBÓN, PARA PAPEL FRASCO 2500</t>
  </si>
  <si>
    <t>LAPICERO NEGRO</t>
  </si>
  <si>
    <t>ALMOHADILLA PARA SELLOS</t>
  </si>
  <si>
    <t>COSEDEORA INDUSTRIAL</t>
  </si>
  <si>
    <t>PERFORADORA INDUSTRIAL</t>
  </si>
  <si>
    <t>SACAGANCHOS INDUSTRIAL</t>
  </si>
  <si>
    <t>ROLLOS DE STIKER ZT-230-ZEBRA CON EL LOGOTIPO DE LA USCO, DE 5 CM. X 25 CM. METALIZADO</t>
  </si>
  <si>
    <t>PEGANTE EN BARRAS</t>
  </si>
  <si>
    <t>PAPAPELERA DE ESCRITORIO, EN MADERA</t>
  </si>
  <si>
    <t>CINTA DE ENMASCARAR 1" Y DE 2”</t>
  </si>
  <si>
    <t>GANCHO COSEDORA</t>
  </si>
  <si>
    <t xml:space="preserve">TINTAS ALMOHADILLAS </t>
  </si>
  <si>
    <t>FECHADOR MANUAL</t>
  </si>
  <si>
    <t>TINTA PARA RECARGAR MARCADORES, SURTIDA</t>
  </si>
  <si>
    <t>GUILLOTINAS PARA COTAR PAPEL DE 38X45"</t>
  </si>
  <si>
    <t>AZ CARTA</t>
  </si>
  <si>
    <t>SACAPUNTAS</t>
  </si>
  <si>
    <t>HUELLERO DACTILAR CAJA REDONDA</t>
  </si>
  <si>
    <t>CARPETAS COLGANTES COLOR CAFÉ</t>
  </si>
  <si>
    <t>SELLO RADICADOR DE CORRESPONDENCIA AUTOMATICO</t>
  </si>
  <si>
    <t xml:space="preserve">ESFERO LAMIX </t>
  </si>
  <si>
    <t>MINAS PARA ESPEROS LAMIX</t>
  </si>
  <si>
    <t>LAPIZ No:2 GRAFITO HB CON MINA CONTINUA</t>
  </si>
  <si>
    <t>TONNER SAMSUNG MLTD D203L SAMSUNG</t>
  </si>
  <si>
    <t>TONNER SAMSUNG MLTD D101S SAMSUNG</t>
  </si>
  <si>
    <t>TONNER SAMSUNG MLTD D105L SAMSUNG</t>
  </si>
  <si>
    <t>TONNER SAMSUNG MLTD D109S SAMSUNG</t>
  </si>
  <si>
    <t>TONNER SAMSUNG MLTD D209L SAMSUNG</t>
  </si>
  <si>
    <t>TONNER SAMSUNG MLTD D205L  SAMSUNG</t>
  </si>
  <si>
    <t>TONNER SAMSUNG MLTD D111SAMSUNG</t>
  </si>
  <si>
    <t>TONNER SAMSUNG MLTD D104 SAMSUNG</t>
  </si>
  <si>
    <t>TONNER SAMSUNG MLTD 2052</t>
  </si>
  <si>
    <t>TONNER 15A</t>
  </si>
  <si>
    <t>TONNER 13A</t>
  </si>
  <si>
    <t>TONNER 16A</t>
  </si>
  <si>
    <t>TONNER 36A</t>
  </si>
  <si>
    <t>TONNER 37A</t>
  </si>
  <si>
    <t>TONNER 64 A</t>
  </si>
  <si>
    <t>TONNER 78 HP</t>
  </si>
  <si>
    <t>TONNER 80A</t>
  </si>
  <si>
    <t>TONNER 81A</t>
  </si>
  <si>
    <t>RODILLO 12A HP</t>
  </si>
  <si>
    <t>RODILLO 37 HP</t>
  </si>
  <si>
    <t>RODILLO 78A HP</t>
  </si>
  <si>
    <t>RODILLO 35A HP</t>
  </si>
  <si>
    <t>RODILLO 90A HP</t>
  </si>
  <si>
    <t>RODILLO 05A HP</t>
  </si>
  <si>
    <t>RODILLO 15A  HP</t>
  </si>
  <si>
    <t>RODILLO 81A HP</t>
  </si>
  <si>
    <t>CUCHILLA LIMPIADORA 12 A HP</t>
  </si>
  <si>
    <t>CUCHILLA LIMPIADORA 37 HP</t>
  </si>
  <si>
    <t>CUCHILLA LIMPIADORA 78 A HP</t>
  </si>
  <si>
    <t>CUCHILLA LIMPIADORA 55 A HP</t>
  </si>
  <si>
    <t>CUCHILLA LIMPIADORA 90 A HP</t>
  </si>
  <si>
    <t>CUCHILLA LIMPIADORA 05X HP</t>
  </si>
  <si>
    <t>CUCHILLA LIMPIADORA 15 A HP</t>
  </si>
  <si>
    <t>CUCHILLA LIMPIADORA 81 A HP</t>
  </si>
  <si>
    <t>CUCHILLA MLT D205</t>
  </si>
  <si>
    <t>RODILLO MLT D101S</t>
  </si>
  <si>
    <t>RODILLO MLT D109S</t>
  </si>
  <si>
    <t>RODILLO MLT D209L</t>
  </si>
  <si>
    <t>RODILLO MLT D205L</t>
  </si>
  <si>
    <t>RODILLO MLT D111</t>
  </si>
  <si>
    <t>RODILLO MLT D104</t>
  </si>
  <si>
    <t>RODILLO MLT D203</t>
  </si>
  <si>
    <t>RODILLO 05 HP</t>
  </si>
  <si>
    <t>RODILLO MLTD 104</t>
  </si>
  <si>
    <t>RODILLO MLTD 205</t>
  </si>
  <si>
    <t>RODILLO MLT 2855</t>
  </si>
  <si>
    <t>CUCHILLA LIMPIADORA MLT D101 S</t>
  </si>
  <si>
    <t>CUCHILLA LIMPIADORA MLT D105 L</t>
  </si>
  <si>
    <t>CUCHILLA LIMPIADORA MLT D109 S</t>
  </si>
  <si>
    <t>CUCHILLA LIMPIADORA MLT D209 S</t>
  </si>
  <si>
    <t>CUCHILLA LIMPIADORA MLT D205 S</t>
  </si>
  <si>
    <t>CUCHILLA LIMPIADORA MLT D111</t>
  </si>
  <si>
    <t>CUCHILLA LIMPIADORA MLT D109</t>
  </si>
  <si>
    <t>CUCHILLA LIMPIADORA MLT D104</t>
  </si>
  <si>
    <t>CUCHILLA LIMPIADORA 90A HP</t>
  </si>
  <si>
    <t>CUCHILLA LIMPIADORA MLTD205</t>
  </si>
  <si>
    <t>CUCHILLA LIMPIADORA ML 2855ND</t>
  </si>
  <si>
    <t>CUCHILLA LIMPIADORA 12A HP</t>
  </si>
  <si>
    <t>CUCHILLA LIMPIADORA 35A HP</t>
  </si>
  <si>
    <t>CUCHILLA LIMPIADORA MLT D203 S</t>
  </si>
  <si>
    <t>POLVILLO UNIVERSAL HP COMPONNETE DE COLOMBIA MPY</t>
  </si>
  <si>
    <t>POLVILLO UNIVERSAL SAMSUNG ML 5000</t>
  </si>
  <si>
    <t>POLVILLO UNITET CALIDAD AA</t>
  </si>
  <si>
    <t>CARTUCHO 56 NEGRO</t>
  </si>
  <si>
    <t xml:space="preserve">CARTUCHO 60 TRICOLOR </t>
  </si>
  <si>
    <t>CARTUCHO 98 NEGRO</t>
  </si>
  <si>
    <t>CARTUCHO 75 TRICOLOR</t>
  </si>
  <si>
    <t>CARTUCHO 17 NEGRO</t>
  </si>
  <si>
    <t xml:space="preserve">CARTUCHO 475 TRICOLOR </t>
  </si>
  <si>
    <t xml:space="preserve">CARTUCHO 74 NEGRO </t>
  </si>
  <si>
    <t>CATUCHO 30 NEGRO</t>
  </si>
  <si>
    <t>SERVICIO DE FOTOCOPIAS PARA TODAS LA AREAS DE LA USCO, UNCLUIDAS LAS SEDES DE GARZÓN , PITALITO Y LA PLATA</t>
  </si>
  <si>
    <t>RUBRO: 3012 290</t>
  </si>
  <si>
    <t>RUBRO: 301490</t>
  </si>
  <si>
    <t>UNIVESIDAD SURCOLOMBIANA,PLAN DE COMPRAS VIGENCIA 2018, ADQUISICIÓN Y/O PRODUCCIÓN EQUIPOS Y MATERIALES</t>
  </si>
  <si>
    <t>UNIVESIDAD SURCOLOMBIANA,PLAN DE COMPRAS VIGENCIA 2018, CONSTRUCCIÓN DE INFRAESTRUCTURA</t>
  </si>
  <si>
    <t>TECHO PRESUPUESTAL: $30.000.000</t>
  </si>
  <si>
    <t>VALOR UNITARIO 2018</t>
  </si>
  <si>
    <t>TECHO PRESUPUESTAL: $6.210.000</t>
  </si>
  <si>
    <t>TECHO PRESUPUESTAL: $60.000.000</t>
  </si>
  <si>
    <t>TECHO PRESUPUESTAL: 15.365.796</t>
  </si>
  <si>
    <t>VALOR VIGENCIA 2108</t>
  </si>
  <si>
    <t>TECHO PRESUPUESTAL: $54.283.582</t>
  </si>
  <si>
    <t>TECHO PRESUPUESTAL: $40.000.000</t>
  </si>
  <si>
    <t>TECHO PRSUPUESAL : $84.000.000</t>
  </si>
  <si>
    <t>TECHO PRESUPUESTAL= $60.000.000</t>
  </si>
  <si>
    <t>TECHO PRESUPUESAL: $100.000.000</t>
  </si>
  <si>
    <t>TECHO PRESUPUESAL: $60.000.000</t>
  </si>
  <si>
    <t>TECHO PRESUPUESAL: $77.343.116</t>
  </si>
  <si>
    <t>TECHO PRESUPUESAL: $80.000.000</t>
  </si>
  <si>
    <t>TECHO PRESUPUESAL: $1.000.000.000</t>
  </si>
  <si>
    <t>TECHO PRESUPUESAL: $8.000.000</t>
  </si>
  <si>
    <t>TECHO PRESUPUESAL: $35.000.000</t>
  </si>
  <si>
    <t>TECHO PRESUPUESAL: $300.000.000</t>
  </si>
  <si>
    <t>TECHO PRESUPUESAL: $40.000.000</t>
  </si>
  <si>
    <t>TECHO PRESUPUESAL: $150.000.000</t>
  </si>
  <si>
    <t>TECHO PRESUPUESAL: $3.488.000.000</t>
  </si>
  <si>
    <t>TECHO PRESUPUESAL: $1.600.000.000</t>
  </si>
  <si>
    <t>TECHO PRESUPUESAL: $577.500.000</t>
  </si>
  <si>
    <t>TECHO PRESUPUESAL: $72.589.073</t>
  </si>
  <si>
    <t>TECHO PRESUPUESAL: $69.174.052</t>
  </si>
  <si>
    <t>TECHO PRESUPUESAL: $70.000.000</t>
  </si>
  <si>
    <t>TECHO PRESUPUESAL: $180.000.000</t>
  </si>
  <si>
    <t>TECHO PRESUPUESAL: $140.000.000</t>
  </si>
  <si>
    <t>TECHO PRESUPUESAL: $13.090.715.315</t>
  </si>
  <si>
    <t>TECHO PRESUPUESAL: $1.577.732.001</t>
  </si>
  <si>
    <t>TECHO PRESUPUESAL: 230.000.000</t>
  </si>
  <si>
    <t>VALOR ESTIMADO PARA 2018</t>
  </si>
  <si>
    <t>TECHO PRESUPUESTAL:$11,000,000</t>
  </si>
  <si>
    <t>TECHO PRESUPUESTAL:$6,250,500</t>
  </si>
  <si>
    <t>TECHO PRESUPUESTAL:$20,700,000</t>
  </si>
  <si>
    <t>GRABADORA PERIODISTICA</t>
  </si>
  <si>
    <t>TECHO PRESUPUESTAL:$30,000,000</t>
  </si>
  <si>
    <t xml:space="preserve">Trapero enhilo * 400 gramos </t>
  </si>
  <si>
    <t xml:space="preserve">Límpido o blanqueador * 3800cc </t>
  </si>
  <si>
    <t xml:space="preserve">Escoba en nylon ref. 228, con diámetro para barrer de 32 cm. </t>
  </si>
  <si>
    <t xml:space="preserve">Toallas desechables, blancas dúplex * 150 unidades. x 24 paquete </t>
  </si>
  <si>
    <t xml:space="preserve">Recogedor plástico </t>
  </si>
  <si>
    <t>Jabón liquido antibacterial para manos * 3000 cc</t>
  </si>
  <si>
    <t xml:space="preserve">Jabón tocador o para manos  </t>
  </si>
  <si>
    <t xml:space="preserve">Papel higiénico doble hoja *48 2en1 * 32mts </t>
  </si>
  <si>
    <t xml:space="preserve">Balde plástico 10 lts </t>
  </si>
  <si>
    <t xml:space="preserve">Papel higiénico industrial natural * 250mts </t>
  </si>
  <si>
    <t xml:space="preserve">Ambientador Spray oficina  *360cc </t>
  </si>
  <si>
    <t>Limpia Max * 3800cc</t>
  </si>
  <si>
    <t xml:space="preserve">Aromática surtida * 24 cajas </t>
  </si>
  <si>
    <t>Aromática de Frutos Rojos</t>
  </si>
  <si>
    <t>Aromática liquida surtida</t>
  </si>
  <si>
    <t xml:space="preserve">Vasos desechables ecológicos para agua de 7 oz* caja * 2000 unidades </t>
  </si>
  <si>
    <t xml:space="preserve">Vasos desechables ecológico para tinto 4 onzas caja * 2000 unidades </t>
  </si>
  <si>
    <t xml:space="preserve">Cocineta eléctrica de 2 puestos </t>
  </si>
  <si>
    <t>Bandejas Plásticas medianas</t>
  </si>
  <si>
    <t xml:space="preserve">Cafetera eléctrica, jarra de vidrio con capacidad para 10 tintos </t>
  </si>
  <si>
    <t>Azúcar por libras</t>
  </si>
  <si>
    <t>Aromática panela</t>
  </si>
  <si>
    <t>TECHO PRESUPUESTAL:-0-</t>
  </si>
  <si>
    <t>Dotación para empleados públicos y trabajadores oficiales, consistente en una camisa, pantalón y un par de zapatos para hombres, para damas: blusa, falda y par de zapatos</t>
  </si>
  <si>
    <t>Taladro portátil de ½ percutor inalámbrico recargable.</t>
  </si>
  <si>
    <t>Bugís nuevos</t>
  </si>
  <si>
    <t>Fluxómetros</t>
  </si>
  <si>
    <t>Maderas Chanflón 3.00 x 30 cm</t>
  </si>
  <si>
    <t>Pegante colbón para madera</t>
  </si>
  <si>
    <t>pintura expósita-blanca con diluyente PINTUCO o VINILTEX</t>
  </si>
  <si>
    <t>CANTID</t>
  </si>
  <si>
    <t>GRABADORA ICDX1000 CE7</t>
  </si>
  <si>
    <t>GRABADORA ICD-PX333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</si>
</sst>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_(* #,##0_);_(* \(#,##0\);_(* &quot;-&quot;??_);_(@_)"/>
    <numFmt numFmtId="165" formatCode="&quot;$&quot;#,##0;[Red]\-&quot;$&quot;#,##0"/>
  </numFmts>
  <fonts count="33" x14ac:knownFonts="1">
    <font>
      <sz val="11"/>
      <color theme="1"/>
      <name val="Calibri"/>
      <family val="2"/>
      <scheme val="minor"/>
    </font>
    <font>
      <b/>
      <sz val="11"/>
      <color theme="1"/>
      <name val="Calibri"/>
      <family val="2"/>
      <scheme val="minor"/>
    </font>
    <font>
      <sz val="8"/>
      <color theme="1"/>
      <name val="Calibri"/>
      <family val="2"/>
      <scheme val="minor"/>
    </font>
    <font>
      <sz val="8"/>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0"/>
      <name val="Arial"/>
      <family val="2"/>
    </font>
    <font>
      <sz val="9"/>
      <color rgb="FF000000"/>
      <name val="Arial"/>
      <family val="2"/>
    </font>
    <font>
      <sz val="9"/>
      <color theme="1"/>
      <name val="Calibri"/>
      <family val="2"/>
      <scheme val="minor"/>
    </font>
    <font>
      <b/>
      <sz val="9"/>
      <color rgb="FF000000"/>
      <name val="Arial"/>
      <family val="2"/>
    </font>
    <font>
      <sz val="9"/>
      <color rgb="FF000000"/>
      <name val="Calibri"/>
      <family val="2"/>
      <scheme val="minor"/>
    </font>
    <font>
      <b/>
      <sz val="9"/>
      <color rgb="FF000000"/>
      <name val="Calibri"/>
      <family val="2"/>
      <scheme val="minor"/>
    </font>
    <font>
      <b/>
      <sz val="12"/>
      <name val="Calibri"/>
      <family val="2"/>
      <scheme val="minor"/>
    </font>
    <font>
      <sz val="10"/>
      <color rgb="FF000000"/>
      <name val="Arial Narrow"/>
      <family val="2"/>
    </font>
    <font>
      <sz val="8"/>
      <color theme="1"/>
      <name val="Arial"/>
      <family val="2"/>
    </font>
    <font>
      <sz val="8"/>
      <color rgb="FF000000"/>
      <name val="Arial"/>
      <family val="2"/>
    </font>
    <font>
      <b/>
      <sz val="9"/>
      <color theme="1"/>
      <name val="Calibri"/>
      <family val="2"/>
      <scheme val="minor"/>
    </font>
    <font>
      <sz val="8"/>
      <color rgb="FF000000"/>
      <name val="Calibri"/>
      <family val="2"/>
    </font>
    <font>
      <sz val="9"/>
      <color rgb="FF000000"/>
      <name val="Calibri"/>
      <family val="2"/>
    </font>
    <font>
      <b/>
      <sz val="9"/>
      <name val="Calibri"/>
      <family val="2"/>
      <scheme val="minor"/>
    </font>
    <font>
      <sz val="12"/>
      <color theme="0"/>
      <name val="Calibri"/>
      <family val="2"/>
      <scheme val="minor"/>
    </font>
    <font>
      <b/>
      <sz val="8"/>
      <color theme="1"/>
      <name val="Calibri"/>
      <family val="2"/>
      <scheme val="minor"/>
    </font>
    <font>
      <u/>
      <sz val="11"/>
      <color theme="10"/>
      <name val="Calibri"/>
      <family val="2"/>
      <scheme val="minor"/>
    </font>
    <font>
      <sz val="9"/>
      <name val="Calibri"/>
      <family val="2"/>
      <scheme val="minor"/>
    </font>
    <font>
      <u/>
      <sz val="8"/>
      <name val="Calibri"/>
      <family val="2"/>
      <scheme val="minor"/>
    </font>
    <font>
      <sz val="12"/>
      <name val="Calibri"/>
      <family val="2"/>
      <scheme val="minor"/>
    </font>
    <font>
      <sz val="8"/>
      <name val="Calibri"/>
      <family val="2"/>
    </font>
    <font>
      <sz val="10"/>
      <color rgb="FF000000"/>
      <name val="Calibri"/>
      <family val="2"/>
      <scheme val="minor"/>
    </font>
    <font>
      <sz val="11"/>
      <color rgb="FF000000"/>
      <name val="Calibri"/>
      <family val="2"/>
      <scheme val="minor"/>
    </font>
    <font>
      <sz val="8"/>
      <color theme="1"/>
      <name val="Calibri"/>
      <family val="2"/>
    </font>
    <font>
      <b/>
      <sz val="8"/>
      <color theme="1"/>
      <name val="Calibri"/>
      <family val="2"/>
    </font>
    <font>
      <b/>
      <sz val="8"/>
      <color rgb="FF000000"/>
      <name val="Calibri"/>
      <family val="2"/>
    </font>
  </fonts>
  <fills count="11">
    <fill>
      <patternFill patternType="none"/>
    </fill>
    <fill>
      <patternFill patternType="gray125"/>
    </fill>
    <fill>
      <patternFill patternType="solid">
        <fgColor rgb="FFFF0000"/>
        <bgColor indexed="64"/>
      </patternFill>
    </fill>
    <fill>
      <patternFill patternType="solid">
        <fgColor theme="0"/>
        <bgColor indexed="31"/>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3" fontId="6" fillId="0" borderId="0" applyFont="0" applyFill="0" applyBorder="0" applyAlignment="0" applyProtection="0"/>
    <xf numFmtId="0" fontId="7" fillId="0" borderId="0"/>
    <xf numFmtId="44" fontId="6" fillId="0" borderId="0" applyFont="0" applyFill="0" applyBorder="0" applyAlignment="0" applyProtection="0"/>
    <xf numFmtId="0" fontId="23" fillId="0" borderId="0" applyNumberFormat="0" applyFill="0" applyBorder="0" applyAlignment="0" applyProtection="0"/>
  </cellStyleXfs>
  <cellXfs count="260">
    <xf numFmtId="0" fontId="0" fillId="0" borderId="0" xfId="0"/>
    <xf numFmtId="0" fontId="0" fillId="0" borderId="4" xfId="0" applyBorder="1"/>
    <xf numFmtId="0" fontId="0" fillId="0" borderId="4" xfId="0" applyBorder="1" applyAlignment="1">
      <alignment vertical="top"/>
    </xf>
    <xf numFmtId="0" fontId="2" fillId="0" borderId="4" xfId="0" applyFont="1" applyBorder="1" applyAlignment="1">
      <alignment horizontal="justify" vertical="justify"/>
    </xf>
    <xf numFmtId="0" fontId="2" fillId="0" borderId="4" xfId="0" applyFont="1" applyBorder="1" applyAlignment="1">
      <alignment vertical="center"/>
    </xf>
    <xf numFmtId="0" fontId="2" fillId="0" borderId="4" xfId="0" applyFont="1" applyBorder="1"/>
    <xf numFmtId="0" fontId="2" fillId="0" borderId="4" xfId="0" applyFont="1" applyBorder="1" applyAlignment="1">
      <alignment horizontal="justify" vertical="top"/>
    </xf>
    <xf numFmtId="0" fontId="2" fillId="0" borderId="4" xfId="0" applyFont="1" applyBorder="1" applyAlignment="1">
      <alignment vertical="top"/>
    </xf>
    <xf numFmtId="0" fontId="2" fillId="0" borderId="4" xfId="0" applyFont="1" applyBorder="1" applyAlignment="1">
      <alignment horizontal="center" vertical="justify"/>
    </xf>
    <xf numFmtId="0" fontId="2" fillId="0" borderId="5" xfId="0" applyFont="1" applyBorder="1" applyAlignment="1">
      <alignment horizontal="justify" vertical="justify"/>
    </xf>
    <xf numFmtId="0" fontId="0" fillId="0" borderId="0" xfId="0" applyAlignment="1">
      <alignment horizontal="justify" vertical="justify"/>
    </xf>
    <xf numFmtId="0" fontId="2" fillId="0" borderId="4" xfId="0" applyFont="1" applyFill="1" applyBorder="1" applyAlignment="1">
      <alignment horizontal="justify" vertical="justify"/>
    </xf>
    <xf numFmtId="0" fontId="0" fillId="0" borderId="6" xfId="0" applyBorder="1" applyAlignment="1"/>
    <xf numFmtId="0" fontId="2" fillId="0" borderId="0" xfId="0" applyFont="1"/>
    <xf numFmtId="0" fontId="2" fillId="0" borderId="4" xfId="0" applyFont="1" applyBorder="1" applyAlignment="1">
      <alignment horizontal="center"/>
    </xf>
    <xf numFmtId="0" fontId="2" fillId="0" borderId="4" xfId="0" applyFont="1" applyBorder="1" applyAlignment="1">
      <alignment horizontal="center" vertical="top"/>
    </xf>
    <xf numFmtId="0" fontId="2" fillId="0" borderId="5" xfId="0" applyFont="1" applyBorder="1" applyAlignment="1">
      <alignment horizontal="center" vertical="justify"/>
    </xf>
    <xf numFmtId="0" fontId="2" fillId="0" borderId="4" xfId="0" applyFont="1" applyFill="1" applyBorder="1" applyAlignment="1">
      <alignment horizontal="center" vertical="top"/>
    </xf>
    <xf numFmtId="164" fontId="2" fillId="0" borderId="4" xfId="1" applyNumberFormat="1" applyFont="1" applyBorder="1" applyAlignment="1">
      <alignment horizontal="justify" vertical="justify"/>
    </xf>
    <xf numFmtId="0" fontId="2" fillId="0" borderId="5" xfId="0" applyFont="1" applyBorder="1" applyAlignment="1">
      <alignment horizontal="justify" vertical="top"/>
    </xf>
    <xf numFmtId="164" fontId="2" fillId="0" borderId="4" xfId="1" applyNumberFormat="1" applyFont="1" applyBorder="1" applyAlignment="1">
      <alignment vertical="top"/>
    </xf>
    <xf numFmtId="0" fontId="2" fillId="0" borderId="4" xfId="0" applyFont="1" applyFill="1" applyBorder="1" applyAlignment="1">
      <alignment horizontal="justify" vertical="top"/>
    </xf>
    <xf numFmtId="0" fontId="0" fillId="0" borderId="0" xfId="0" applyFont="1"/>
    <xf numFmtId="164" fontId="2" fillId="0" borderId="4" xfId="0" applyNumberFormat="1" applyFont="1" applyBorder="1" applyAlignment="1">
      <alignment vertical="top"/>
    </xf>
    <xf numFmtId="164" fontId="2" fillId="0" borderId="4" xfId="1" applyNumberFormat="1" applyFont="1" applyBorder="1"/>
    <xf numFmtId="164" fontId="2" fillId="0" borderId="4" xfId="1" applyNumberFormat="1" applyFont="1" applyBorder="1" applyAlignment="1">
      <alignment horizontal="justify" vertical="top"/>
    </xf>
    <xf numFmtId="164" fontId="0" fillId="0" borderId="4" xfId="1" applyNumberFormat="1" applyFont="1" applyBorder="1"/>
    <xf numFmtId="164" fontId="0" fillId="0" borderId="0" xfId="1" applyNumberFormat="1" applyFont="1"/>
    <xf numFmtId="0" fontId="9" fillId="0" borderId="4" xfId="0" applyFont="1" applyBorder="1" applyAlignment="1">
      <alignment horizontal="justify" vertical="justify"/>
    </xf>
    <xf numFmtId="0" fontId="9" fillId="0" borderId="4" xfId="0" applyFont="1" applyBorder="1"/>
    <xf numFmtId="0" fontId="9" fillId="0" borderId="4" xfId="0" applyFont="1" applyBorder="1" applyAlignment="1">
      <alignment vertical="center"/>
    </xf>
    <xf numFmtId="0" fontId="9" fillId="0" borderId="4" xfId="0" applyFont="1" applyBorder="1" applyAlignment="1">
      <alignment horizontal="center" vertical="center"/>
    </xf>
    <xf numFmtId="164" fontId="0" fillId="0" borderId="0" xfId="0" applyNumberFormat="1"/>
    <xf numFmtId="164" fontId="9" fillId="0" borderId="4" xfId="1" applyNumberFormat="1" applyFont="1" applyBorder="1"/>
    <xf numFmtId="164" fontId="9" fillId="0" borderId="4" xfId="1" applyNumberFormat="1" applyFont="1" applyBorder="1" applyAlignment="1">
      <alignment vertical="top"/>
    </xf>
    <xf numFmtId="0" fontId="9" fillId="0" borderId="4" xfId="0" applyFont="1" applyBorder="1" applyAlignment="1">
      <alignment vertical="top"/>
    </xf>
    <xf numFmtId="0" fontId="9" fillId="0" borderId="4" xfId="0" applyFont="1" applyBorder="1" applyAlignment="1">
      <alignment horizontal="justify" vertical="top"/>
    </xf>
    <xf numFmtId="0" fontId="11" fillId="0" borderId="4" xfId="0" applyFont="1" applyBorder="1" applyAlignment="1">
      <alignment horizontal="justify" vertical="justify" wrapText="1"/>
    </xf>
    <xf numFmtId="0" fontId="9" fillId="0" borderId="4" xfId="0" applyFont="1" applyBorder="1" applyAlignment="1">
      <alignment horizontal="center" vertical="top"/>
    </xf>
    <xf numFmtId="0" fontId="0" fillId="0" borderId="4" xfId="0" applyBorder="1" applyAlignment="1">
      <alignment horizontal="justify" vertical="justify"/>
    </xf>
    <xf numFmtId="0" fontId="9" fillId="0" borderId="0" xfId="0" applyFont="1"/>
    <xf numFmtId="0" fontId="9" fillId="0" borderId="4" xfId="0" applyFont="1" applyBorder="1" applyAlignment="1">
      <alignment horizontal="center"/>
    </xf>
    <xf numFmtId="0" fontId="17" fillId="2" borderId="1" xfId="0" applyFont="1" applyFill="1" applyBorder="1" applyAlignment="1">
      <alignment horizontal="center"/>
    </xf>
    <xf numFmtId="0" fontId="17" fillId="6" borderId="6" xfId="0" applyFont="1" applyFill="1" applyBorder="1" applyAlignment="1">
      <alignment horizontal="center"/>
    </xf>
    <xf numFmtId="0" fontId="9" fillId="6" borderId="6" xfId="0" applyFont="1" applyFill="1" applyBorder="1" applyAlignment="1">
      <alignment horizontal="center"/>
    </xf>
    <xf numFmtId="164" fontId="9" fillId="0" borderId="4" xfId="1" applyNumberFormat="1" applyFont="1" applyBorder="1" applyAlignment="1">
      <alignment horizontal="justify" vertical="top"/>
    </xf>
    <xf numFmtId="164" fontId="9" fillId="0" borderId="4" xfId="1" applyNumberFormat="1" applyFont="1" applyBorder="1" applyAlignment="1">
      <alignment horizontal="justify" vertical="justify"/>
    </xf>
    <xf numFmtId="0" fontId="17" fillId="6" borderId="1" xfId="0" applyFont="1" applyFill="1" applyBorder="1" applyAlignment="1">
      <alignment horizontal="center"/>
    </xf>
    <xf numFmtId="0" fontId="9" fillId="6" borderId="2" xfId="0" applyFont="1" applyFill="1" applyBorder="1" applyAlignment="1">
      <alignment horizontal="center"/>
    </xf>
    <xf numFmtId="0" fontId="11" fillId="0" borderId="4" xfId="0" applyFont="1" applyBorder="1" applyAlignment="1">
      <alignment horizontal="left" vertical="top" wrapText="1"/>
    </xf>
    <xf numFmtId="0" fontId="11" fillId="0" borderId="4" xfId="0" applyFont="1" applyBorder="1" applyAlignment="1">
      <alignment horizontal="justify" vertical="justify"/>
    </xf>
    <xf numFmtId="0" fontId="2" fillId="0" borderId="4" xfId="0" applyFont="1" applyBorder="1" applyAlignment="1">
      <alignment horizontal="center" vertical="center"/>
    </xf>
    <xf numFmtId="164" fontId="2" fillId="0" borderId="4" xfId="1" applyNumberFormat="1" applyFont="1" applyBorder="1" applyAlignment="1">
      <alignment vertical="center"/>
    </xf>
    <xf numFmtId="0" fontId="9" fillId="0" borderId="1" xfId="0" applyFont="1" applyBorder="1"/>
    <xf numFmtId="164" fontId="9" fillId="0" borderId="4" xfId="1" applyNumberFormat="1" applyFont="1" applyBorder="1" applyAlignment="1">
      <alignment vertical="center"/>
    </xf>
    <xf numFmtId="0" fontId="19" fillId="0" borderId="10" xfId="0" applyFont="1" applyBorder="1" applyAlignment="1">
      <alignment horizontal="justify" vertical="top" wrapText="1"/>
    </xf>
    <xf numFmtId="0" fontId="9" fillId="0" borderId="4" xfId="0" applyFont="1" applyBorder="1" applyAlignment="1">
      <alignment horizontal="center" vertical="justify"/>
    </xf>
    <xf numFmtId="0" fontId="0" fillId="6" borderId="6" xfId="0" applyFill="1" applyBorder="1" applyAlignment="1">
      <alignment horizontal="center" vertical="top"/>
    </xf>
    <xf numFmtId="164" fontId="2" fillId="0" borderId="4" xfId="1" applyNumberFormat="1" applyFont="1" applyFill="1" applyBorder="1"/>
    <xf numFmtId="164" fontId="9" fillId="0" borderId="4" xfId="1" applyNumberFormat="1" applyFont="1" applyBorder="1" applyAlignment="1">
      <alignment horizontal="right" vertical="justify"/>
    </xf>
    <xf numFmtId="164" fontId="2" fillId="0" borderId="4" xfId="1" applyNumberFormat="1" applyFont="1" applyBorder="1" applyAlignment="1">
      <alignment horizontal="center" vertical="center"/>
    </xf>
    <xf numFmtId="0" fontId="13" fillId="6" borderId="2" xfId="0" applyFont="1" applyFill="1" applyBorder="1" applyAlignment="1"/>
    <xf numFmtId="0" fontId="5" fillId="5" borderId="6" xfId="0" applyFont="1" applyFill="1" applyBorder="1" applyAlignment="1">
      <alignment horizontal="center"/>
    </xf>
    <xf numFmtId="0" fontId="5" fillId="6" borderId="6" xfId="0" applyFont="1" applyFill="1" applyBorder="1" applyAlignment="1">
      <alignment horizontal="center"/>
    </xf>
    <xf numFmtId="0" fontId="5" fillId="6" borderId="4" xfId="0" applyFont="1" applyFill="1" applyBorder="1" applyAlignment="1">
      <alignment horizontal="center"/>
    </xf>
    <xf numFmtId="164" fontId="2" fillId="0" borderId="5" xfId="1" applyNumberFormat="1" applyFont="1" applyBorder="1" applyAlignment="1">
      <alignment horizontal="justify" vertical="justify"/>
    </xf>
    <xf numFmtId="0" fontId="0" fillId="0" borderId="4" xfId="0" applyBorder="1" applyAlignment="1">
      <alignment horizontal="center" vertical="justify"/>
    </xf>
    <xf numFmtId="164" fontId="9" fillId="0" borderId="4" xfId="0" applyNumberFormat="1" applyFont="1" applyBorder="1" applyAlignment="1">
      <alignment horizontal="justify" vertical="justify"/>
    </xf>
    <xf numFmtId="0" fontId="0" fillId="0" borderId="4" xfId="0" applyBorder="1" applyAlignment="1">
      <alignment horizontal="justify" vertical="center"/>
    </xf>
    <xf numFmtId="164" fontId="9" fillId="0" borderId="4" xfId="0" applyNumberFormat="1" applyFont="1" applyBorder="1" applyAlignment="1">
      <alignment horizontal="right" vertical="justify"/>
    </xf>
    <xf numFmtId="165" fontId="14" fillId="0" borderId="4" xfId="0" applyNumberFormat="1" applyFont="1" applyBorder="1" applyAlignment="1">
      <alignment horizontal="right" vertical="justify" wrapText="1"/>
    </xf>
    <xf numFmtId="0" fontId="8" fillId="4" borderId="4" xfId="0" applyFont="1" applyFill="1" applyBorder="1" applyAlignment="1">
      <alignment horizontal="justify" vertical="justify" wrapText="1"/>
    </xf>
    <xf numFmtId="0" fontId="11" fillId="4" borderId="4" xfId="0" applyFont="1" applyFill="1" applyBorder="1" applyAlignment="1">
      <alignment horizontal="justify" vertical="justify" wrapText="1"/>
    </xf>
    <xf numFmtId="0" fontId="11" fillId="0" borderId="4" xfId="0" applyFont="1" applyBorder="1" applyAlignment="1">
      <alignment horizontal="center" vertical="justify"/>
    </xf>
    <xf numFmtId="0" fontId="11" fillId="0" borderId="4" xfId="0" applyFont="1" applyBorder="1" applyAlignment="1">
      <alignment horizontal="center" vertical="justify" wrapText="1"/>
    </xf>
    <xf numFmtId="0" fontId="8" fillId="4" borderId="4" xfId="0" applyFont="1" applyFill="1" applyBorder="1" applyAlignment="1">
      <alignment horizontal="center" vertical="justify"/>
    </xf>
    <xf numFmtId="0" fontId="11" fillId="4" borderId="4" xfId="0" applyFont="1" applyFill="1" applyBorder="1" applyAlignment="1">
      <alignment horizontal="center" vertical="justify" wrapText="1"/>
    </xf>
    <xf numFmtId="3" fontId="8" fillId="4" borderId="4" xfId="0" applyNumberFormat="1" applyFont="1" applyFill="1" applyBorder="1" applyAlignment="1">
      <alignment horizontal="right" vertical="justify" wrapText="1"/>
    </xf>
    <xf numFmtId="3" fontId="11" fillId="0" borderId="4" xfId="0" applyNumberFormat="1" applyFont="1" applyBorder="1" applyAlignment="1">
      <alignment horizontal="right" vertical="justify"/>
    </xf>
    <xf numFmtId="3" fontId="12" fillId="0" borderId="4" xfId="0" applyNumberFormat="1" applyFont="1" applyBorder="1" applyAlignment="1">
      <alignment horizontal="right" vertical="justify"/>
    </xf>
    <xf numFmtId="0" fontId="11" fillId="0" borderId="4" xfId="0" applyFont="1" applyBorder="1" applyAlignment="1">
      <alignment horizontal="right" vertical="justify"/>
    </xf>
    <xf numFmtId="0" fontId="16" fillId="0" borderId="4" xfId="0" applyFont="1" applyBorder="1" applyAlignment="1">
      <alignment horizontal="justify" vertical="justify"/>
    </xf>
    <xf numFmtId="3" fontId="15" fillId="0" borderId="4" xfId="3" applyNumberFormat="1" applyFont="1" applyBorder="1" applyAlignment="1">
      <alignment horizontal="justify" vertical="justify" wrapText="1"/>
    </xf>
    <xf numFmtId="3" fontId="15" fillId="0" borderId="4" xfId="0" applyNumberFormat="1" applyFont="1" applyBorder="1" applyAlignment="1">
      <alignment horizontal="justify" vertical="justify"/>
    </xf>
    <xf numFmtId="0" fontId="16" fillId="0" borderId="4" xfId="0" applyFont="1" applyBorder="1" applyAlignment="1">
      <alignment horizontal="justify" vertical="justify" wrapText="1"/>
    </xf>
    <xf numFmtId="0" fontId="16" fillId="4" borderId="4" xfId="0" applyFont="1" applyFill="1" applyBorder="1" applyAlignment="1">
      <alignment horizontal="justify" vertical="justify" wrapText="1"/>
    </xf>
    <xf numFmtId="0" fontId="5" fillId="6" borderId="6" xfId="0" applyFont="1" applyFill="1" applyBorder="1" applyAlignment="1">
      <alignment horizontal="justify" vertical="justify"/>
    </xf>
    <xf numFmtId="0" fontId="8" fillId="0" borderId="4" xfId="0" applyFont="1" applyBorder="1" applyAlignment="1">
      <alignment horizontal="center" vertical="justify"/>
    </xf>
    <xf numFmtId="3" fontId="8" fillId="0" borderId="4" xfId="0" applyNumberFormat="1" applyFont="1" applyBorder="1" applyAlignment="1">
      <alignment horizontal="right" vertical="justify" wrapText="1"/>
    </xf>
    <xf numFmtId="0" fontId="9" fillId="0" borderId="4" xfId="0" applyFont="1" applyBorder="1" applyAlignment="1">
      <alignment horizontal="right" vertical="justify"/>
    </xf>
    <xf numFmtId="1" fontId="8" fillId="0" borderId="4" xfId="0" applyNumberFormat="1" applyFont="1" applyBorder="1" applyAlignment="1">
      <alignment horizontal="right" vertical="justify" wrapText="1"/>
    </xf>
    <xf numFmtId="0" fontId="8" fillId="0" borderId="4" xfId="0" applyFont="1" applyBorder="1" applyAlignment="1">
      <alignment horizontal="right" vertical="justify" wrapText="1"/>
    </xf>
    <xf numFmtId="3" fontId="10" fillId="0" borderId="4" xfId="0" applyNumberFormat="1" applyFont="1" applyBorder="1" applyAlignment="1">
      <alignment horizontal="right" vertical="justify" wrapText="1"/>
    </xf>
    <xf numFmtId="0" fontId="9" fillId="0" borderId="0" xfId="0" applyFont="1" applyAlignment="1">
      <alignment horizontal="justify" vertical="top"/>
    </xf>
    <xf numFmtId="164" fontId="9" fillId="0" borderId="4" xfId="1" applyNumberFormat="1" applyFont="1" applyBorder="1" applyAlignment="1">
      <alignment horizontal="right" vertical="top"/>
    </xf>
    <xf numFmtId="0" fontId="9" fillId="0" borderId="5" xfId="0" applyFont="1" applyBorder="1" applyAlignment="1">
      <alignment horizontal="justify" vertical="justify"/>
    </xf>
    <xf numFmtId="164" fontId="9" fillId="0" borderId="5" xfId="1" applyNumberFormat="1" applyFont="1" applyBorder="1" applyAlignment="1">
      <alignment horizontal="justify" vertical="justify"/>
    </xf>
    <xf numFmtId="164" fontId="0" fillId="0" borderId="4" xfId="1" applyNumberFormat="1" applyFont="1" applyBorder="1" applyAlignment="1">
      <alignment horizontal="justify" vertical="justify"/>
    </xf>
    <xf numFmtId="0" fontId="21" fillId="0" borderId="0" xfId="0" applyFont="1" applyFill="1" applyBorder="1" applyAlignment="1">
      <alignment horizontal="center"/>
    </xf>
    <xf numFmtId="0" fontId="4" fillId="6" borderId="8" xfId="0" applyFont="1" applyFill="1" applyBorder="1" applyAlignment="1">
      <alignment horizontal="left"/>
    </xf>
    <xf numFmtId="0" fontId="5" fillId="6" borderId="6" xfId="0" applyFont="1" applyFill="1" applyBorder="1" applyAlignment="1">
      <alignment horizontal="left"/>
    </xf>
    <xf numFmtId="0" fontId="0" fillId="0" borderId="0" xfId="0" applyAlignment="1">
      <alignment horizontal="justify" vertical="top"/>
    </xf>
    <xf numFmtId="0" fontId="2" fillId="0" borderId="4" xfId="0" applyFont="1" applyFill="1" applyBorder="1" applyAlignment="1">
      <alignment horizontal="center" vertical="justify"/>
    </xf>
    <xf numFmtId="164" fontId="2" fillId="0" borderId="4" xfId="1" applyNumberFormat="1" applyFont="1" applyFill="1" applyBorder="1" applyAlignment="1">
      <alignment horizontal="center" vertical="justify"/>
    </xf>
    <xf numFmtId="164" fontId="2" fillId="0" borderId="4" xfId="1" applyNumberFormat="1" applyFont="1" applyFill="1" applyBorder="1" applyAlignment="1">
      <alignment horizontal="right" vertical="justify"/>
    </xf>
    <xf numFmtId="0" fontId="0" fillId="0" borderId="0" xfId="0" applyAlignment="1">
      <alignment horizontal="center"/>
    </xf>
    <xf numFmtId="0" fontId="9" fillId="0" borderId="0" xfId="0" applyFont="1" applyBorder="1" applyAlignment="1">
      <alignment horizontal="center" vertical="justify"/>
    </xf>
    <xf numFmtId="0" fontId="9" fillId="0" borderId="0" xfId="0" applyFont="1" applyBorder="1" applyAlignment="1">
      <alignment horizontal="justify" vertical="justify"/>
    </xf>
    <xf numFmtId="0" fontId="9" fillId="0" borderId="5" xfId="0" applyFont="1" applyBorder="1" applyAlignment="1">
      <alignment horizontal="justify" vertical="top"/>
    </xf>
    <xf numFmtId="164" fontId="0" fillId="0" borderId="0" xfId="0" applyNumberFormat="1" applyAlignment="1">
      <alignment horizontal="justify" vertical="justify"/>
    </xf>
    <xf numFmtId="0" fontId="9" fillId="0" borderId="0" xfId="0" applyFont="1" applyBorder="1" applyAlignment="1">
      <alignment horizontal="justify" vertical="top"/>
    </xf>
    <xf numFmtId="164" fontId="9" fillId="0" borderId="0" xfId="1" applyNumberFormat="1" applyFont="1" applyBorder="1" applyAlignment="1">
      <alignment horizontal="justify" vertical="justify"/>
    </xf>
    <xf numFmtId="0" fontId="0" fillId="0" borderId="4" xfId="0" applyBorder="1" applyAlignment="1">
      <alignment horizontal="center"/>
    </xf>
    <xf numFmtId="164" fontId="0" fillId="0" borderId="4" xfId="0" applyNumberFormat="1" applyBorder="1"/>
    <xf numFmtId="0" fontId="1" fillId="6" borderId="6" xfId="0" applyFont="1" applyFill="1" applyBorder="1" applyAlignment="1">
      <alignment horizontal="center" vertical="top"/>
    </xf>
    <xf numFmtId="0" fontId="23" fillId="0" borderId="0" xfId="4" applyAlignment="1">
      <alignment vertical="center"/>
    </xf>
    <xf numFmtId="0" fontId="3" fillId="0" borderId="0" xfId="4" applyFont="1" applyAlignment="1">
      <alignment horizontal="justify" vertical="justify"/>
    </xf>
    <xf numFmtId="0" fontId="3" fillId="0" borderId="4" xfId="0" applyFont="1" applyBorder="1" applyAlignment="1">
      <alignment horizontal="justify" vertical="justify"/>
    </xf>
    <xf numFmtId="0" fontId="1" fillId="6" borderId="6" xfId="0" applyFont="1" applyFill="1" applyBorder="1" applyAlignment="1">
      <alignment horizontal="left" vertical="top"/>
    </xf>
    <xf numFmtId="0" fontId="22" fillId="0" borderId="0" xfId="0" applyFont="1" applyAlignment="1">
      <alignment horizontal="justify" vertical="justify"/>
    </xf>
    <xf numFmtId="0" fontId="25" fillId="0" borderId="4" xfId="4" applyFont="1" applyBorder="1" applyAlignment="1">
      <alignment horizontal="justify" vertical="justify"/>
    </xf>
    <xf numFmtId="0" fontId="22" fillId="0" borderId="4" xfId="0" applyFont="1" applyBorder="1" applyAlignment="1">
      <alignment horizontal="justify" vertical="justify"/>
    </xf>
    <xf numFmtId="164" fontId="2" fillId="0" borderId="0" xfId="0" applyNumberFormat="1" applyFont="1"/>
    <xf numFmtId="0" fontId="2" fillId="0" borderId="0" xfId="0" applyFont="1" applyAlignment="1">
      <alignment horizontal="justify" vertical="justify"/>
    </xf>
    <xf numFmtId="164" fontId="9" fillId="0" borderId="0" xfId="0" applyNumberFormat="1" applyFont="1" applyFill="1" applyBorder="1" applyAlignment="1">
      <alignment horizontal="justify" vertical="justify"/>
    </xf>
    <xf numFmtId="0" fontId="0" fillId="8" borderId="0" xfId="0" applyFill="1"/>
    <xf numFmtId="0" fontId="3" fillId="0" borderId="4" xfId="0" applyFont="1" applyBorder="1" applyAlignment="1">
      <alignment horizontal="justify" vertical="top"/>
    </xf>
    <xf numFmtId="0" fontId="3" fillId="0" borderId="5" xfId="0" applyFont="1" applyBorder="1" applyAlignment="1">
      <alignment horizontal="justify" vertical="top"/>
    </xf>
    <xf numFmtId="0" fontId="24" fillId="0" borderId="5" xfId="0" applyFont="1" applyBorder="1" applyAlignment="1">
      <alignment horizontal="justify" vertical="top"/>
    </xf>
    <xf numFmtId="0" fontId="3" fillId="0" borderId="4" xfId="0" applyFont="1" applyFill="1" applyBorder="1" applyAlignment="1">
      <alignment horizontal="justify" vertical="top"/>
    </xf>
    <xf numFmtId="43" fontId="0" fillId="0" borderId="0" xfId="1" applyFont="1"/>
    <xf numFmtId="0" fontId="21" fillId="0" borderId="0" xfId="0" applyFont="1" applyFill="1" applyBorder="1" applyAlignment="1">
      <alignment horizontal="center"/>
    </xf>
    <xf numFmtId="164" fontId="2" fillId="0" borderId="9" xfId="1" applyNumberFormat="1" applyFont="1" applyFill="1" applyBorder="1" applyAlignment="1">
      <alignment horizontal="justify" vertical="justify"/>
    </xf>
    <xf numFmtId="0" fontId="2" fillId="0" borderId="9" xfId="0" applyFont="1" applyFill="1" applyBorder="1"/>
    <xf numFmtId="0" fontId="2" fillId="0" borderId="9" xfId="0" applyFont="1" applyFill="1" applyBorder="1" applyAlignment="1">
      <alignment horizontal="center" vertical="top"/>
    </xf>
    <xf numFmtId="0" fontId="9" fillId="0" borderId="5" xfId="0" applyFont="1" applyBorder="1" applyAlignment="1">
      <alignment horizontal="center" vertical="justify"/>
    </xf>
    <xf numFmtId="0" fontId="30" fillId="0" borderId="4" xfId="0" applyFont="1" applyBorder="1" applyAlignment="1">
      <alignment horizontal="justify" vertical="center" wrapText="1"/>
    </xf>
    <xf numFmtId="0" fontId="30" fillId="0" borderId="4" xfId="0" applyFont="1" applyBorder="1" applyAlignment="1">
      <alignment horizontal="center" vertical="center"/>
    </xf>
    <xf numFmtId="0" fontId="30" fillId="0" borderId="4" xfId="0" applyFont="1" applyBorder="1" applyAlignment="1">
      <alignment vertical="center" wrapText="1"/>
    </xf>
    <xf numFmtId="0" fontId="18" fillId="0" borderId="4" xfId="0" applyFont="1" applyBorder="1" applyAlignment="1">
      <alignment horizontal="center" vertical="center"/>
    </xf>
    <xf numFmtId="0" fontId="18" fillId="0" borderId="4" xfId="0" applyFont="1" applyBorder="1" applyAlignment="1">
      <alignment vertical="center"/>
    </xf>
    <xf numFmtId="3" fontId="30" fillId="0" borderId="4" xfId="0" applyNumberFormat="1" applyFont="1" applyBorder="1" applyAlignment="1">
      <alignment horizontal="right" vertical="center"/>
    </xf>
    <xf numFmtId="0" fontId="30" fillId="0" borderId="4" xfId="0" applyFont="1" applyBorder="1" applyAlignment="1">
      <alignment horizontal="right" vertical="center"/>
    </xf>
    <xf numFmtId="3" fontId="31" fillId="0" borderId="4" xfId="0" applyNumberFormat="1" applyFont="1" applyBorder="1" applyAlignment="1">
      <alignment horizontal="right" vertical="center"/>
    </xf>
    <xf numFmtId="0" fontId="32" fillId="0" borderId="4" xfId="0" applyFont="1" applyBorder="1" applyAlignment="1">
      <alignment horizontal="right" vertical="center"/>
    </xf>
    <xf numFmtId="3" fontId="32" fillId="0" borderId="4" xfId="0" applyNumberFormat="1" applyFont="1" applyBorder="1" applyAlignment="1">
      <alignment horizontal="right" vertical="center"/>
    </xf>
    <xf numFmtId="0" fontId="18" fillId="0" borderId="4" xfId="0" applyFont="1" applyBorder="1" applyAlignment="1">
      <alignment horizontal="justify" vertical="center"/>
    </xf>
    <xf numFmtId="3" fontId="18" fillId="0" borderId="4" xfId="0" applyNumberFormat="1" applyFont="1" applyBorder="1" applyAlignment="1">
      <alignment horizontal="right" vertical="center"/>
    </xf>
    <xf numFmtId="0" fontId="18" fillId="0" borderId="4" xfId="0" applyFont="1" applyBorder="1" applyAlignment="1">
      <alignment horizontal="right" vertical="center"/>
    </xf>
    <xf numFmtId="164" fontId="18" fillId="0" borderId="4" xfId="1" applyNumberFormat="1" applyFont="1" applyBorder="1" applyAlignment="1">
      <alignment horizontal="right" vertical="center"/>
    </xf>
    <xf numFmtId="164" fontId="9" fillId="10" borderId="4" xfId="1" applyNumberFormat="1" applyFont="1" applyFill="1" applyBorder="1" applyAlignment="1">
      <alignment vertical="top"/>
    </xf>
    <xf numFmtId="164" fontId="9" fillId="0" borderId="4" xfId="1" applyNumberFormat="1" applyFont="1" applyBorder="1" applyAlignment="1">
      <alignment horizontal="left" vertical="center" wrapText="1"/>
    </xf>
    <xf numFmtId="0" fontId="17" fillId="8" borderId="5"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19" fillId="10" borderId="4" xfId="0" applyFont="1" applyFill="1" applyBorder="1" applyAlignment="1">
      <alignment horizontal="justify" vertical="justify" wrapText="1"/>
    </xf>
    <xf numFmtId="164" fontId="2" fillId="10" borderId="4" xfId="1" applyNumberFormat="1" applyFont="1" applyFill="1" applyBorder="1" applyAlignment="1">
      <alignment vertical="top"/>
    </xf>
    <xf numFmtId="164" fontId="2" fillId="10" borderId="0" xfId="0" applyNumberFormat="1" applyFont="1" applyFill="1"/>
    <xf numFmtId="0" fontId="0" fillId="0" borderId="0" xfId="0" applyFill="1"/>
    <xf numFmtId="0" fontId="22" fillId="0" borderId="0"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8" fillId="0" borderId="4" xfId="0" applyFont="1" applyBorder="1" applyAlignment="1">
      <alignment horizontal="justify" vertical="center" wrapText="1"/>
    </xf>
    <xf numFmtId="0" fontId="29" fillId="0" borderId="4" xfId="0" applyFont="1" applyBorder="1" applyAlignment="1">
      <alignment horizontal="justify" vertical="center" wrapText="1"/>
    </xf>
    <xf numFmtId="0" fontId="3" fillId="0" borderId="4" xfId="0" applyFont="1" applyBorder="1" applyAlignment="1">
      <alignment horizontal="justify" vertical="center"/>
    </xf>
    <xf numFmtId="0" fontId="2" fillId="0" borderId="4" xfId="0" applyFont="1" applyBorder="1" applyAlignment="1">
      <alignment horizontal="justify" vertical="center"/>
    </xf>
    <xf numFmtId="0" fontId="3" fillId="0" borderId="4" xfId="0" applyFont="1" applyFill="1" applyBorder="1" applyAlignment="1">
      <alignment horizontal="justify" vertical="center"/>
    </xf>
    <xf numFmtId="0" fontId="27" fillId="3" borderId="4" xfId="0" applyFont="1" applyFill="1" applyBorder="1" applyAlignment="1">
      <alignment horizontal="left" vertical="center" wrapText="1"/>
    </xf>
    <xf numFmtId="0" fontId="3" fillId="0" borderId="4" xfId="0" applyFont="1" applyBorder="1" applyAlignment="1">
      <alignment vertical="center"/>
    </xf>
    <xf numFmtId="0" fontId="3" fillId="0" borderId="1" xfId="0" applyFont="1" applyBorder="1" applyAlignment="1">
      <alignment horizontal="justify" vertical="center"/>
    </xf>
    <xf numFmtId="164" fontId="2" fillId="0" borderId="3" xfId="0" applyNumberFormat="1" applyFont="1" applyBorder="1" applyAlignment="1">
      <alignment horizontal="justify" vertical="justify"/>
    </xf>
    <xf numFmtId="164" fontId="2" fillId="0" borderId="3" xfId="1" applyNumberFormat="1" applyFont="1" applyBorder="1" applyAlignment="1">
      <alignment horizontal="justify" vertical="justify"/>
    </xf>
    <xf numFmtId="0" fontId="30" fillId="0" borderId="4" xfId="0" applyFont="1" applyBorder="1" applyAlignment="1">
      <alignment horizontal="justify" vertical="top"/>
    </xf>
    <xf numFmtId="0" fontId="19" fillId="10" borderId="10" xfId="0" applyFont="1" applyFill="1" applyBorder="1" applyAlignment="1">
      <alignment horizontal="justify" vertical="justify" wrapText="1"/>
    </xf>
    <xf numFmtId="164" fontId="9" fillId="0" borderId="9" xfId="1" applyNumberFormat="1" applyFont="1" applyFill="1" applyBorder="1" applyAlignment="1">
      <alignment horizontal="right" vertical="justify"/>
    </xf>
    <xf numFmtId="164" fontId="9" fillId="10" borderId="4" xfId="1" applyNumberFormat="1" applyFont="1" applyFill="1" applyBorder="1" applyAlignment="1">
      <alignment horizontal="justify" vertical="justify"/>
    </xf>
    <xf numFmtId="164" fontId="9" fillId="0" borderId="4" xfId="1" applyNumberFormat="1" applyFont="1" applyBorder="1" applyAlignment="1">
      <alignment horizontal="center" vertical="top"/>
    </xf>
    <xf numFmtId="164" fontId="9" fillId="0" borderId="4" xfId="1" applyNumberFormat="1" applyFont="1" applyFill="1" applyBorder="1" applyAlignment="1">
      <alignment vertical="top"/>
    </xf>
    <xf numFmtId="0" fontId="9" fillId="0" borderId="9" xfId="0" applyFont="1" applyFill="1" applyBorder="1" applyAlignment="1">
      <alignment horizontal="justify" vertical="justify"/>
    </xf>
    <xf numFmtId="0" fontId="16" fillId="0" borderId="4" xfId="0" applyFont="1" applyBorder="1" applyAlignment="1">
      <alignment horizontal="justify" vertical="center" wrapText="1"/>
    </xf>
    <xf numFmtId="0" fontId="16" fillId="0" borderId="4" xfId="0" applyFont="1" applyBorder="1" applyAlignment="1">
      <alignment horizontal="justify" vertical="center"/>
    </xf>
    <xf numFmtId="0" fontId="9" fillId="0" borderId="1" xfId="0" applyFont="1" applyBorder="1" applyAlignment="1">
      <alignment horizontal="center" vertical="justify"/>
    </xf>
    <xf numFmtId="0" fontId="9" fillId="0" borderId="1" xfId="0" applyFont="1" applyFill="1" applyBorder="1" applyAlignment="1">
      <alignment horizontal="center" vertical="justify"/>
    </xf>
    <xf numFmtId="0" fontId="9" fillId="0" borderId="3" xfId="0" applyFont="1" applyBorder="1" applyAlignment="1">
      <alignment horizontal="justify" vertical="justify"/>
    </xf>
    <xf numFmtId="0" fontId="9" fillId="0" borderId="3" xfId="0" applyFont="1" applyBorder="1" applyAlignment="1">
      <alignment horizontal="justify" vertical="top"/>
    </xf>
    <xf numFmtId="0" fontId="8" fillId="4" borderId="4" xfId="0" applyFont="1" applyFill="1" applyBorder="1" applyAlignment="1">
      <alignment horizontal="justify" vertical="center" wrapText="1"/>
    </xf>
    <xf numFmtId="0" fontId="8" fillId="0" borderId="4" xfId="0" applyFont="1" applyBorder="1" applyAlignment="1">
      <alignment horizontal="justify" vertical="center" wrapText="1"/>
    </xf>
    <xf numFmtId="164" fontId="9" fillId="0" borderId="4" xfId="1" applyNumberFormat="1" applyFont="1" applyFill="1" applyBorder="1" applyAlignment="1">
      <alignment horizontal="justify" vertical="justify"/>
    </xf>
    <xf numFmtId="164" fontId="9" fillId="0" borderId="4" xfId="1" applyNumberFormat="1" applyFont="1" applyFill="1" applyBorder="1" applyAlignment="1">
      <alignment horizontal="justify" vertical="top"/>
    </xf>
    <xf numFmtId="0" fontId="4" fillId="7" borderId="1" xfId="0" applyFont="1" applyFill="1" applyBorder="1" applyAlignment="1">
      <alignment horizontal="center"/>
    </xf>
    <xf numFmtId="0" fontId="4" fillId="7" borderId="2" xfId="0" applyFont="1" applyFill="1" applyBorder="1" applyAlignment="1">
      <alignment horizontal="center"/>
    </xf>
    <xf numFmtId="0" fontId="5" fillId="7" borderId="2" xfId="0" applyFont="1" applyFill="1" applyBorder="1" applyAlignment="1">
      <alignment horizontal="center"/>
    </xf>
    <xf numFmtId="0" fontId="17" fillId="6" borderId="2" xfId="0" applyFont="1" applyFill="1" applyBorder="1" applyAlignment="1">
      <alignment horizontal="center"/>
    </xf>
    <xf numFmtId="0" fontId="13" fillId="7" borderId="1" xfId="0" applyFont="1" applyFill="1" applyBorder="1" applyAlignment="1">
      <alignment horizontal="center"/>
    </xf>
    <xf numFmtId="0" fontId="13" fillId="7" borderId="2" xfId="0" applyFont="1" applyFill="1" applyBorder="1" applyAlignment="1">
      <alignment horizontal="center"/>
    </xf>
    <xf numFmtId="0" fontId="26" fillId="7" borderId="2" xfId="0" applyFont="1" applyFill="1" applyBorder="1" applyAlignment="1">
      <alignment horizontal="center"/>
    </xf>
    <xf numFmtId="0" fontId="17" fillId="6" borderId="3" xfId="0" applyFont="1" applyFill="1" applyBorder="1" applyAlignment="1">
      <alignment horizontal="center"/>
    </xf>
    <xf numFmtId="0" fontId="20" fillId="6" borderId="2" xfId="0" applyFont="1" applyFill="1" applyBorder="1" applyAlignment="1">
      <alignment horizontal="center"/>
    </xf>
    <xf numFmtId="0" fontId="17" fillId="6" borderId="1" xfId="0" applyFont="1" applyFill="1" applyBorder="1" applyAlignment="1">
      <alignment horizontal="center"/>
    </xf>
    <xf numFmtId="0" fontId="1" fillId="7" borderId="1" xfId="0" applyFont="1" applyFill="1" applyBorder="1" applyAlignment="1">
      <alignment horizontal="center" vertical="top"/>
    </xf>
    <xf numFmtId="0" fontId="0" fillId="7" borderId="2" xfId="0" applyFill="1" applyBorder="1" applyAlignment="1">
      <alignment horizontal="center" vertical="top"/>
    </xf>
    <xf numFmtId="0" fontId="0" fillId="7" borderId="3" xfId="0" applyFill="1" applyBorder="1" applyAlignment="1">
      <alignment horizontal="center" vertical="top"/>
    </xf>
    <xf numFmtId="0" fontId="1" fillId="6" borderId="1" xfId="0" applyFont="1" applyFill="1" applyBorder="1" applyAlignment="1">
      <alignment horizontal="center" vertical="top"/>
    </xf>
    <xf numFmtId="0" fontId="1" fillId="6" borderId="2" xfId="0" applyFont="1" applyFill="1" applyBorder="1" applyAlignment="1">
      <alignment horizontal="center" vertical="top"/>
    </xf>
    <xf numFmtId="0" fontId="1" fillId="6" borderId="3" xfId="0" applyFont="1" applyFill="1" applyBorder="1" applyAlignment="1">
      <alignment horizontal="center" vertical="top"/>
    </xf>
    <xf numFmtId="0" fontId="1" fillId="9" borderId="1" xfId="0" applyFont="1" applyFill="1" applyBorder="1" applyAlignment="1">
      <alignment horizontal="center" vertical="top"/>
    </xf>
    <xf numFmtId="0" fontId="1" fillId="9" borderId="2" xfId="0" applyFont="1" applyFill="1" applyBorder="1" applyAlignment="1">
      <alignment horizontal="center" vertical="top"/>
    </xf>
    <xf numFmtId="0" fontId="1" fillId="9" borderId="3" xfId="0" applyFont="1" applyFill="1" applyBorder="1" applyAlignment="1">
      <alignment horizontal="center" vertical="top"/>
    </xf>
    <xf numFmtId="0" fontId="1" fillId="6" borderId="1" xfId="0" applyFont="1" applyFill="1" applyBorder="1" applyAlignment="1">
      <alignment horizontal="left" vertical="top"/>
    </xf>
    <xf numFmtId="0" fontId="1" fillId="6" borderId="2" xfId="0" applyFont="1" applyFill="1" applyBorder="1" applyAlignment="1">
      <alignment horizontal="left" vertical="top"/>
    </xf>
    <xf numFmtId="0" fontId="0" fillId="9" borderId="2" xfId="0" applyFill="1" applyBorder="1" applyAlignment="1">
      <alignment horizontal="center" vertical="top"/>
    </xf>
    <xf numFmtId="0" fontId="0" fillId="9" borderId="3" xfId="0" applyFill="1" applyBorder="1" applyAlignment="1">
      <alignment horizontal="center" vertical="top"/>
    </xf>
    <xf numFmtId="0" fontId="13" fillId="7" borderId="4" xfId="0" applyFont="1" applyFill="1" applyBorder="1" applyAlignment="1">
      <alignment horizontal="center"/>
    </xf>
    <xf numFmtId="0" fontId="26" fillId="7" borderId="4" xfId="0" applyFont="1" applyFill="1" applyBorder="1" applyAlignment="1">
      <alignment horizontal="center"/>
    </xf>
    <xf numFmtId="0" fontId="13" fillId="6" borderId="1" xfId="0" applyFont="1" applyFill="1" applyBorder="1" applyAlignment="1">
      <alignment horizontal="center"/>
    </xf>
    <xf numFmtId="0" fontId="13" fillId="6" borderId="2" xfId="0" applyFont="1" applyFill="1" applyBorder="1" applyAlignment="1">
      <alignment horizontal="center"/>
    </xf>
    <xf numFmtId="0" fontId="13" fillId="6" borderId="3" xfId="0" applyFont="1" applyFill="1" applyBorder="1" applyAlignment="1">
      <alignment horizontal="center"/>
    </xf>
    <xf numFmtId="0" fontId="5" fillId="7" borderId="3" xfId="0" applyFont="1" applyFill="1" applyBorder="1" applyAlignment="1">
      <alignment horizontal="center"/>
    </xf>
    <xf numFmtId="0" fontId="4" fillId="5" borderId="1" xfId="0" applyFont="1" applyFill="1" applyBorder="1" applyAlignment="1">
      <alignment horizontal="left"/>
    </xf>
    <xf numFmtId="0" fontId="4" fillId="5" borderId="2" xfId="0" applyFont="1" applyFill="1" applyBorder="1" applyAlignment="1">
      <alignment horizontal="left"/>
    </xf>
    <xf numFmtId="0" fontId="13" fillId="5" borderId="2" xfId="0" applyFont="1" applyFill="1" applyBorder="1" applyAlignment="1">
      <alignment horizontal="center"/>
    </xf>
    <xf numFmtId="0" fontId="13" fillId="5" borderId="3" xfId="0" applyFont="1" applyFill="1" applyBorder="1" applyAlignment="1">
      <alignment horizontal="center"/>
    </xf>
    <xf numFmtId="0" fontId="4" fillId="9" borderId="1" xfId="0" applyFont="1" applyFill="1" applyBorder="1" applyAlignment="1">
      <alignment horizontal="center"/>
    </xf>
    <xf numFmtId="0" fontId="5" fillId="9" borderId="2" xfId="0" applyFont="1" applyFill="1" applyBorder="1" applyAlignment="1">
      <alignment horizontal="center"/>
    </xf>
    <xf numFmtId="0" fontId="5" fillId="9" borderId="3" xfId="0" applyFont="1" applyFill="1" applyBorder="1" applyAlignment="1">
      <alignment horizontal="center"/>
    </xf>
    <xf numFmtId="0" fontId="4" fillId="5" borderId="8" xfId="0" applyFont="1" applyFill="1" applyBorder="1" applyAlignment="1">
      <alignment horizontal="left"/>
    </xf>
    <xf numFmtId="0" fontId="4" fillId="5" borderId="6" xfId="0" applyFont="1" applyFill="1" applyBorder="1" applyAlignment="1">
      <alignment horizontal="left"/>
    </xf>
    <xf numFmtId="0" fontId="13" fillId="5" borderId="6" xfId="0" applyFont="1" applyFill="1" applyBorder="1" applyAlignment="1">
      <alignment horizontal="center"/>
    </xf>
    <xf numFmtId="0" fontId="13" fillId="5" borderId="7" xfId="0" applyFont="1" applyFill="1" applyBorder="1" applyAlignment="1">
      <alignment horizontal="center"/>
    </xf>
    <xf numFmtId="0" fontId="4" fillId="6" borderId="1"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9" borderId="4" xfId="0" applyFont="1" applyFill="1" applyBorder="1" applyAlignment="1">
      <alignment horizontal="center"/>
    </xf>
    <xf numFmtId="0" fontId="5" fillId="9" borderId="4" xfId="0" applyFont="1" applyFill="1" applyBorder="1" applyAlignment="1">
      <alignment horizontal="center"/>
    </xf>
    <xf numFmtId="0" fontId="13" fillId="6" borderId="1" xfId="0" applyFont="1" applyFill="1" applyBorder="1" applyAlignment="1">
      <alignment horizontal="left"/>
    </xf>
    <xf numFmtId="0" fontId="13" fillId="6" borderId="2" xfId="0" applyFont="1" applyFill="1" applyBorder="1" applyAlignment="1">
      <alignment horizontal="left"/>
    </xf>
    <xf numFmtId="0" fontId="4" fillId="9" borderId="1" xfId="0" applyFont="1" applyFill="1" applyBorder="1" applyAlignment="1">
      <alignment horizontal="center" vertical="justify"/>
    </xf>
    <xf numFmtId="0" fontId="5" fillId="9" borderId="2" xfId="0" applyFont="1" applyFill="1" applyBorder="1" applyAlignment="1">
      <alignment horizontal="center" vertical="justify"/>
    </xf>
    <xf numFmtId="0" fontId="5" fillId="9" borderId="3" xfId="0" applyFont="1" applyFill="1" applyBorder="1" applyAlignment="1">
      <alignment horizontal="center" vertical="justify"/>
    </xf>
    <xf numFmtId="0" fontId="4" fillId="6" borderId="1" xfId="0" applyFont="1" applyFill="1" applyBorder="1" applyAlignment="1">
      <alignment horizontal="justify" vertical="justify"/>
    </xf>
    <xf numFmtId="0" fontId="4" fillId="6" borderId="2" xfId="0" applyFont="1" applyFill="1" applyBorder="1" applyAlignment="1">
      <alignment horizontal="justify" vertical="justify"/>
    </xf>
    <xf numFmtId="0" fontId="4" fillId="6" borderId="3" xfId="0" applyFont="1" applyFill="1" applyBorder="1" applyAlignment="1">
      <alignment horizontal="justify" vertical="justify"/>
    </xf>
    <xf numFmtId="0" fontId="4" fillId="9" borderId="1" xfId="0" applyFont="1" applyFill="1" applyBorder="1" applyAlignment="1">
      <alignment horizontal="justify" vertical="justify"/>
    </xf>
    <xf numFmtId="0" fontId="5" fillId="9" borderId="2" xfId="0" applyFont="1" applyFill="1" applyBorder="1" applyAlignment="1">
      <alignment horizontal="justify" vertical="justify"/>
    </xf>
    <xf numFmtId="0" fontId="5" fillId="9" borderId="3" xfId="0" applyFont="1" applyFill="1" applyBorder="1" applyAlignment="1">
      <alignment horizontal="justify" vertical="justify"/>
    </xf>
    <xf numFmtId="0" fontId="4" fillId="6" borderId="2" xfId="0" applyFont="1" applyFill="1" applyBorder="1" applyAlignment="1">
      <alignment horizontal="center" vertical="justify"/>
    </xf>
    <xf numFmtId="0" fontId="4" fillId="6" borderId="3" xfId="0" applyFont="1" applyFill="1" applyBorder="1" applyAlignment="1">
      <alignment horizontal="center" vertical="justify"/>
    </xf>
    <xf numFmtId="0" fontId="4" fillId="9" borderId="8" xfId="0" applyFont="1" applyFill="1" applyBorder="1" applyAlignment="1">
      <alignment horizontal="center"/>
    </xf>
    <xf numFmtId="0" fontId="5" fillId="9" borderId="6" xfId="0" applyFont="1" applyFill="1" applyBorder="1" applyAlignment="1">
      <alignment horizontal="center"/>
    </xf>
    <xf numFmtId="0" fontId="5" fillId="9" borderId="7" xfId="0" applyFont="1" applyFill="1" applyBorder="1" applyAlignment="1">
      <alignment horizontal="center"/>
    </xf>
    <xf numFmtId="0" fontId="4" fillId="6" borderId="4" xfId="0" applyFont="1" applyFill="1" applyBorder="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0" fontId="4" fillId="9" borderId="2" xfId="0" applyFont="1" applyFill="1" applyBorder="1" applyAlignment="1">
      <alignment horizontal="center" vertical="justify"/>
    </xf>
    <xf numFmtId="0" fontId="4" fillId="9" borderId="3" xfId="0" applyFont="1" applyFill="1" applyBorder="1" applyAlignment="1">
      <alignment horizontal="center" vertical="justify"/>
    </xf>
    <xf numFmtId="0" fontId="5" fillId="6" borderId="1" xfId="0" applyFont="1" applyFill="1" applyBorder="1" applyAlignment="1">
      <alignment horizontal="center"/>
    </xf>
    <xf numFmtId="0" fontId="5" fillId="6" borderId="2" xfId="0" applyFont="1" applyFill="1" applyBorder="1" applyAlignment="1">
      <alignment horizontal="center"/>
    </xf>
    <xf numFmtId="0" fontId="5" fillId="6" borderId="3" xfId="0" applyFont="1" applyFill="1" applyBorder="1" applyAlignment="1">
      <alignment horizontal="center"/>
    </xf>
    <xf numFmtId="0" fontId="21" fillId="0" borderId="0" xfId="0" applyFont="1" applyFill="1" applyBorder="1" applyAlignment="1">
      <alignment horizontal="center"/>
    </xf>
    <xf numFmtId="0" fontId="4" fillId="9" borderId="2" xfId="0" applyFont="1" applyFill="1" applyBorder="1" applyAlignment="1">
      <alignment horizontal="justify" vertical="justify"/>
    </xf>
    <xf numFmtId="0" fontId="4" fillId="9" borderId="3" xfId="0" applyFont="1" applyFill="1" applyBorder="1" applyAlignment="1">
      <alignment horizontal="justify" vertical="justify"/>
    </xf>
    <xf numFmtId="0" fontId="0" fillId="0" borderId="0" xfId="0" applyFill="1" applyBorder="1" applyAlignment="1">
      <alignment horizontal="center" vertical="justify"/>
    </xf>
  </cellXfs>
  <cellStyles count="5">
    <cellStyle name="Hipervínculo" xfId="4" builtinId="8"/>
    <cellStyle name="Millares" xfId="1" builtinId="3"/>
    <cellStyle name="Moneda" xfId="3"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rticulo.mercadolibre.com.co/MCO-458001662-silla-43-cm-x-492-cm-x-795-cm-plegable-blanca-tec-ea105370-_JM"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rticulo.mercadolibre.com.co/MCO-450378870-sony-cyber-shot-dsc-w510-121-mp-camara-fotografica-digital-_J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
  <sheetViews>
    <sheetView workbookViewId="0">
      <selection activeCell="B5" sqref="B5"/>
    </sheetView>
  </sheetViews>
  <sheetFormatPr baseColWidth="10" defaultRowHeight="15" x14ac:dyDescent="0.25"/>
  <cols>
    <col min="1" max="1" width="6.140625" customWidth="1"/>
    <col min="2" max="2" width="26.85546875" customWidth="1"/>
    <col min="3" max="3" width="22.5703125" customWidth="1"/>
    <col min="4" max="4" width="6.42578125" customWidth="1"/>
    <col min="5" max="5" width="6.5703125" customWidth="1"/>
    <col min="6" max="6" width="10.42578125" customWidth="1"/>
    <col min="7" max="7" width="9.7109375" customWidth="1"/>
    <col min="10" max="10" width="20" customWidth="1"/>
  </cols>
  <sheetData>
    <row r="2" spans="1:10" ht="15.75" x14ac:dyDescent="0.25">
      <c r="A2" s="187" t="s">
        <v>719</v>
      </c>
      <c r="B2" s="188"/>
      <c r="C2" s="189"/>
      <c r="D2" s="189"/>
      <c r="E2" s="189"/>
      <c r="F2" s="189"/>
      <c r="G2" s="189"/>
      <c r="H2" s="189"/>
      <c r="I2" s="189"/>
      <c r="J2" s="189"/>
    </row>
    <row r="3" spans="1:10" x14ac:dyDescent="0.25">
      <c r="A3" s="42"/>
      <c r="B3" s="43" t="s">
        <v>600</v>
      </c>
      <c r="C3" s="44"/>
      <c r="D3" s="44"/>
      <c r="E3" s="44"/>
      <c r="F3" s="44"/>
      <c r="G3" s="44"/>
      <c r="H3" s="44"/>
      <c r="I3" s="190" t="s">
        <v>1103</v>
      </c>
      <c r="J3" s="190"/>
    </row>
    <row r="4" spans="1:10" ht="33.75" x14ac:dyDescent="0.25">
      <c r="A4" s="152" t="s">
        <v>0</v>
      </c>
      <c r="B4" s="153" t="s">
        <v>1</v>
      </c>
      <c r="C4" s="153" t="s">
        <v>2</v>
      </c>
      <c r="D4" s="153" t="s">
        <v>3</v>
      </c>
      <c r="E4" s="153" t="s">
        <v>4</v>
      </c>
      <c r="F4" s="153" t="s">
        <v>5</v>
      </c>
      <c r="G4" s="153" t="s">
        <v>1102</v>
      </c>
      <c r="H4" s="153" t="s">
        <v>6</v>
      </c>
      <c r="I4" s="153" t="s">
        <v>8</v>
      </c>
      <c r="J4" s="153" t="s">
        <v>601</v>
      </c>
    </row>
    <row r="5" spans="1:10" ht="72" x14ac:dyDescent="0.25">
      <c r="A5" s="38">
        <v>1</v>
      </c>
      <c r="B5" s="151" t="s">
        <v>598</v>
      </c>
      <c r="C5" s="45" t="s">
        <v>599</v>
      </c>
      <c r="D5" s="34">
        <v>1</v>
      </c>
      <c r="E5" s="174" t="s">
        <v>11</v>
      </c>
      <c r="F5" s="175">
        <v>11000000</v>
      </c>
      <c r="G5" s="175">
        <v>11000000</v>
      </c>
      <c r="H5" s="34" t="s">
        <v>535</v>
      </c>
      <c r="I5" s="34" t="s">
        <v>40</v>
      </c>
      <c r="J5" s="151" t="s">
        <v>602</v>
      </c>
    </row>
    <row r="6" spans="1:10" x14ac:dyDescent="0.25">
      <c r="A6" s="29"/>
      <c r="B6" s="33" t="s">
        <v>603</v>
      </c>
      <c r="C6" s="33"/>
      <c r="D6" s="33"/>
      <c r="E6" s="33"/>
      <c r="F6" s="175" t="s">
        <v>12</v>
      </c>
      <c r="G6" s="175">
        <v>11000000</v>
      </c>
      <c r="H6" s="33"/>
      <c r="I6" s="33"/>
      <c r="J6" s="33"/>
    </row>
    <row r="7" spans="1:10" x14ac:dyDescent="0.25">
      <c r="A7" s="40"/>
      <c r="B7" s="40"/>
      <c r="C7" s="40"/>
      <c r="D7" s="40"/>
      <c r="E7" s="40"/>
      <c r="F7" s="40"/>
      <c r="G7" s="40"/>
      <c r="H7" s="40"/>
      <c r="I7" s="40"/>
      <c r="J7" s="40"/>
    </row>
    <row r="8" spans="1:10" x14ac:dyDescent="0.25">
      <c r="A8" s="40"/>
      <c r="B8" s="40"/>
      <c r="C8" s="40"/>
      <c r="D8" s="40"/>
      <c r="E8" s="40"/>
      <c r="F8" s="40"/>
      <c r="G8" s="40"/>
      <c r="H8" s="40"/>
      <c r="I8" s="40"/>
      <c r="J8" s="40"/>
    </row>
    <row r="9" spans="1:10" x14ac:dyDescent="0.25">
      <c r="A9" s="40"/>
      <c r="B9" s="40"/>
      <c r="C9" s="40"/>
      <c r="D9" s="40"/>
      <c r="E9" s="40"/>
      <c r="F9" s="40"/>
      <c r="G9" s="40"/>
      <c r="H9" s="40"/>
      <c r="I9" s="40"/>
      <c r="J9" s="40"/>
    </row>
  </sheetData>
  <mergeCells count="2">
    <mergeCell ref="A2:J2"/>
    <mergeCell ref="I3:J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7"/>
  <sheetViews>
    <sheetView tabSelected="1" workbookViewId="0">
      <selection activeCell="I77" sqref="I77"/>
    </sheetView>
  </sheetViews>
  <sheetFormatPr baseColWidth="10" defaultRowHeight="15" x14ac:dyDescent="0.25"/>
  <cols>
    <col min="1" max="1" width="7.140625" customWidth="1"/>
    <col min="2" max="2" width="23.28515625" customWidth="1"/>
    <col min="3" max="3" width="22.28515625" customWidth="1"/>
    <col min="4" max="4" width="8.85546875" customWidth="1"/>
    <col min="5" max="5" width="9.28515625" customWidth="1"/>
    <col min="11" max="11" width="17.140625" customWidth="1"/>
  </cols>
  <sheetData>
    <row r="2" spans="1:11" ht="15.75" x14ac:dyDescent="0.25">
      <c r="A2" s="220" t="s">
        <v>728</v>
      </c>
      <c r="B2" s="221"/>
      <c r="C2" s="221"/>
      <c r="D2" s="221"/>
      <c r="E2" s="221"/>
      <c r="F2" s="221"/>
      <c r="G2" s="221"/>
      <c r="H2" s="221"/>
      <c r="I2" s="221"/>
      <c r="J2" s="221"/>
      <c r="K2" s="222"/>
    </row>
    <row r="3" spans="1:11" ht="15.75" x14ac:dyDescent="0.25">
      <c r="A3" s="227" t="s">
        <v>630</v>
      </c>
      <c r="B3" s="228"/>
      <c r="C3" s="228"/>
      <c r="D3" s="228"/>
      <c r="E3" s="63"/>
      <c r="F3" s="63"/>
      <c r="G3" s="63"/>
      <c r="H3" s="63"/>
      <c r="I3" s="228" t="s">
        <v>1079</v>
      </c>
      <c r="J3" s="228"/>
      <c r="K3" s="229"/>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33.75" x14ac:dyDescent="0.25">
      <c r="A5" s="56">
        <v>1</v>
      </c>
      <c r="B5" s="170" t="s">
        <v>942</v>
      </c>
      <c r="C5" s="6" t="s">
        <v>708</v>
      </c>
      <c r="D5" s="139">
        <v>6356</v>
      </c>
      <c r="E5" s="8" t="s">
        <v>11</v>
      </c>
      <c r="F5" s="149">
        <v>4500</v>
      </c>
      <c r="G5" s="168">
        <f t="shared" ref="G5:G31" si="0">D5*F5</f>
        <v>28602000</v>
      </c>
      <c r="H5" s="3" t="s">
        <v>535</v>
      </c>
      <c r="I5" s="6" t="s">
        <v>120</v>
      </c>
      <c r="J5" s="3" t="s">
        <v>40</v>
      </c>
      <c r="K5" s="3" t="s">
        <v>66</v>
      </c>
    </row>
    <row r="6" spans="1:11" ht="23.25" customHeight="1" x14ac:dyDescent="0.25">
      <c r="A6" s="56">
        <v>2</v>
      </c>
      <c r="B6" s="170" t="s">
        <v>943</v>
      </c>
      <c r="C6" s="6" t="s">
        <v>708</v>
      </c>
      <c r="D6" s="139">
        <v>300</v>
      </c>
      <c r="E6" s="8" t="s">
        <v>11</v>
      </c>
      <c r="F6" s="149">
        <v>1105</v>
      </c>
      <c r="G6" s="168">
        <f t="shared" si="0"/>
        <v>331500</v>
      </c>
      <c r="H6" s="3" t="s">
        <v>535</v>
      </c>
      <c r="I6" s="6" t="s">
        <v>120</v>
      </c>
      <c r="J6" s="3" t="s">
        <v>40</v>
      </c>
      <c r="K6" s="3" t="s">
        <v>67</v>
      </c>
    </row>
    <row r="7" spans="1:11" ht="33.75" x14ac:dyDescent="0.25">
      <c r="A7" s="56">
        <v>3</v>
      </c>
      <c r="B7" s="170" t="s">
        <v>944</v>
      </c>
      <c r="C7" s="6" t="s">
        <v>708</v>
      </c>
      <c r="D7" s="139">
        <v>150</v>
      </c>
      <c r="E7" s="8" t="s">
        <v>69</v>
      </c>
      <c r="F7" s="149">
        <v>760</v>
      </c>
      <c r="G7" s="168">
        <f t="shared" si="0"/>
        <v>114000</v>
      </c>
      <c r="H7" s="3" t="s">
        <v>535</v>
      </c>
      <c r="I7" s="6" t="s">
        <v>120</v>
      </c>
      <c r="J7" s="3" t="s">
        <v>40</v>
      </c>
      <c r="K7" s="3" t="s">
        <v>68</v>
      </c>
    </row>
    <row r="8" spans="1:11" ht="33.75" x14ac:dyDescent="0.25">
      <c r="A8" s="56">
        <v>4</v>
      </c>
      <c r="B8" s="170" t="s">
        <v>76</v>
      </c>
      <c r="C8" s="6" t="s">
        <v>708</v>
      </c>
      <c r="D8" s="139">
        <v>200</v>
      </c>
      <c r="E8" s="8" t="s">
        <v>69</v>
      </c>
      <c r="F8" s="149">
        <v>1860</v>
      </c>
      <c r="G8" s="168">
        <f t="shared" si="0"/>
        <v>372000</v>
      </c>
      <c r="H8" s="3" t="s">
        <v>535</v>
      </c>
      <c r="I8" s="6" t="s">
        <v>120</v>
      </c>
      <c r="J8" s="3" t="s">
        <v>40</v>
      </c>
      <c r="K8" s="3" t="s">
        <v>70</v>
      </c>
    </row>
    <row r="9" spans="1:11" ht="33.75" x14ac:dyDescent="0.25">
      <c r="A9" s="56">
        <v>5</v>
      </c>
      <c r="B9" s="170" t="s">
        <v>78</v>
      </c>
      <c r="C9" s="6" t="s">
        <v>708</v>
      </c>
      <c r="D9" s="139">
        <v>800</v>
      </c>
      <c r="E9" s="8" t="s">
        <v>11</v>
      </c>
      <c r="F9" s="149">
        <v>760</v>
      </c>
      <c r="G9" s="168">
        <f t="shared" si="0"/>
        <v>608000</v>
      </c>
      <c r="H9" s="3" t="s">
        <v>535</v>
      </c>
      <c r="I9" s="6" t="s">
        <v>120</v>
      </c>
      <c r="J9" s="3" t="s">
        <v>40</v>
      </c>
      <c r="K9" s="3" t="s">
        <v>71</v>
      </c>
    </row>
    <row r="10" spans="1:11" ht="33.75" x14ac:dyDescent="0.25">
      <c r="A10" s="56">
        <v>6</v>
      </c>
      <c r="B10" s="170" t="s">
        <v>80</v>
      </c>
      <c r="C10" s="6" t="s">
        <v>708</v>
      </c>
      <c r="D10" s="139">
        <v>400</v>
      </c>
      <c r="E10" s="8" t="s">
        <v>11</v>
      </c>
      <c r="F10" s="149">
        <v>340</v>
      </c>
      <c r="G10" s="168">
        <f t="shared" si="0"/>
        <v>136000</v>
      </c>
      <c r="H10" s="3" t="s">
        <v>535</v>
      </c>
      <c r="I10" s="6" t="s">
        <v>120</v>
      </c>
      <c r="J10" s="3" t="s">
        <v>40</v>
      </c>
      <c r="K10" s="3" t="s">
        <v>72</v>
      </c>
    </row>
    <row r="11" spans="1:11" ht="33.75" x14ac:dyDescent="0.25">
      <c r="A11" s="56">
        <v>7</v>
      </c>
      <c r="B11" s="170" t="s">
        <v>945</v>
      </c>
      <c r="C11" s="6" t="s">
        <v>708</v>
      </c>
      <c r="D11" s="139">
        <v>800</v>
      </c>
      <c r="E11" s="8" t="s">
        <v>11</v>
      </c>
      <c r="F11" s="149">
        <v>7900</v>
      </c>
      <c r="G11" s="168">
        <f t="shared" si="0"/>
        <v>6320000</v>
      </c>
      <c r="H11" s="3" t="s">
        <v>535</v>
      </c>
      <c r="I11" s="6" t="s">
        <v>120</v>
      </c>
      <c r="J11" s="3" t="s">
        <v>40</v>
      </c>
      <c r="K11" s="3" t="s">
        <v>73</v>
      </c>
    </row>
    <row r="12" spans="1:11" ht="33.75" x14ac:dyDescent="0.25">
      <c r="A12" s="56">
        <v>8</v>
      </c>
      <c r="B12" s="170" t="s">
        <v>946</v>
      </c>
      <c r="C12" s="6" t="s">
        <v>708</v>
      </c>
      <c r="D12" s="139">
        <v>700</v>
      </c>
      <c r="E12" s="8" t="s">
        <v>11</v>
      </c>
      <c r="F12" s="149">
        <v>9800</v>
      </c>
      <c r="G12" s="168">
        <f t="shared" si="0"/>
        <v>6860000</v>
      </c>
      <c r="H12" s="3" t="s">
        <v>535</v>
      </c>
      <c r="I12" s="6" t="s">
        <v>120</v>
      </c>
      <c r="J12" s="3" t="s">
        <v>40</v>
      </c>
      <c r="K12" s="3" t="s">
        <v>88</v>
      </c>
    </row>
    <row r="13" spans="1:11" ht="45" x14ac:dyDescent="0.25">
      <c r="A13" s="56">
        <v>9</v>
      </c>
      <c r="B13" s="170" t="s">
        <v>947</v>
      </c>
      <c r="C13" s="6" t="s">
        <v>708</v>
      </c>
      <c r="D13" s="139">
        <v>700</v>
      </c>
      <c r="E13" s="8" t="s">
        <v>69</v>
      </c>
      <c r="F13" s="149">
        <v>15000</v>
      </c>
      <c r="G13" s="168">
        <f t="shared" si="0"/>
        <v>10500000</v>
      </c>
      <c r="H13" s="3" t="s">
        <v>535</v>
      </c>
      <c r="I13" s="6" t="s">
        <v>120</v>
      </c>
      <c r="J13" s="3" t="s">
        <v>40</v>
      </c>
      <c r="K13" s="3" t="s">
        <v>74</v>
      </c>
    </row>
    <row r="14" spans="1:11" ht="33.75" x14ac:dyDescent="0.25">
      <c r="A14" s="56">
        <v>10</v>
      </c>
      <c r="B14" s="170" t="s">
        <v>948</v>
      </c>
      <c r="C14" s="6" t="s">
        <v>708</v>
      </c>
      <c r="D14" s="139">
        <v>1000</v>
      </c>
      <c r="E14" s="8" t="s">
        <v>11</v>
      </c>
      <c r="F14" s="149">
        <v>70</v>
      </c>
      <c r="G14" s="168">
        <f t="shared" si="0"/>
        <v>70000</v>
      </c>
      <c r="H14" s="3" t="s">
        <v>535</v>
      </c>
      <c r="I14" s="6" t="s">
        <v>120</v>
      </c>
      <c r="J14" s="3" t="s">
        <v>40</v>
      </c>
      <c r="K14" s="3" t="s">
        <v>75</v>
      </c>
    </row>
    <row r="15" spans="1:11" ht="33.75" x14ac:dyDescent="0.25">
      <c r="A15" s="56">
        <v>11</v>
      </c>
      <c r="B15" s="170" t="s">
        <v>949</v>
      </c>
      <c r="C15" s="6" t="s">
        <v>708</v>
      </c>
      <c r="D15" s="139">
        <v>1000</v>
      </c>
      <c r="E15" s="8" t="s">
        <v>69</v>
      </c>
      <c r="F15" s="149">
        <v>81</v>
      </c>
      <c r="G15" s="168">
        <f t="shared" si="0"/>
        <v>81000</v>
      </c>
      <c r="H15" s="3" t="s">
        <v>535</v>
      </c>
      <c r="I15" s="6" t="s">
        <v>120</v>
      </c>
      <c r="J15" s="3" t="s">
        <v>40</v>
      </c>
      <c r="K15" s="3" t="s">
        <v>89</v>
      </c>
    </row>
    <row r="16" spans="1:11" ht="33.75" x14ac:dyDescent="0.25">
      <c r="A16" s="56">
        <v>12</v>
      </c>
      <c r="B16" s="170" t="s">
        <v>950</v>
      </c>
      <c r="C16" s="6" t="s">
        <v>708</v>
      </c>
      <c r="D16" s="139">
        <v>300</v>
      </c>
      <c r="E16" s="8" t="s">
        <v>69</v>
      </c>
      <c r="F16" s="149">
        <v>2650</v>
      </c>
      <c r="G16" s="168">
        <f t="shared" si="0"/>
        <v>795000</v>
      </c>
      <c r="H16" s="3" t="s">
        <v>535</v>
      </c>
      <c r="I16" s="6" t="s">
        <v>120</v>
      </c>
      <c r="J16" s="3" t="s">
        <v>40</v>
      </c>
      <c r="K16" s="3" t="s">
        <v>90</v>
      </c>
    </row>
    <row r="17" spans="1:11" ht="33.75" x14ac:dyDescent="0.25">
      <c r="A17" s="56">
        <v>13</v>
      </c>
      <c r="B17" s="170" t="s">
        <v>951</v>
      </c>
      <c r="C17" s="6" t="s">
        <v>708</v>
      </c>
      <c r="D17" s="139">
        <v>250</v>
      </c>
      <c r="E17" s="8" t="s">
        <v>11</v>
      </c>
      <c r="F17" s="149">
        <v>675</v>
      </c>
      <c r="G17" s="168">
        <f t="shared" si="0"/>
        <v>168750</v>
      </c>
      <c r="H17" s="3" t="s">
        <v>535</v>
      </c>
      <c r="I17" s="6" t="s">
        <v>120</v>
      </c>
      <c r="J17" s="3" t="s">
        <v>40</v>
      </c>
      <c r="K17" s="3" t="s">
        <v>77</v>
      </c>
    </row>
    <row r="18" spans="1:11" ht="33.75" x14ac:dyDescent="0.25">
      <c r="A18" s="56">
        <v>14</v>
      </c>
      <c r="B18" s="170" t="s">
        <v>96</v>
      </c>
      <c r="C18" s="6" t="s">
        <v>708</v>
      </c>
      <c r="D18" s="139">
        <v>270</v>
      </c>
      <c r="E18" s="8" t="s">
        <v>102</v>
      </c>
      <c r="F18" s="149">
        <v>380</v>
      </c>
      <c r="G18" s="168">
        <f t="shared" si="0"/>
        <v>102600</v>
      </c>
      <c r="H18" s="3" t="s">
        <v>535</v>
      </c>
      <c r="I18" s="6" t="s">
        <v>120</v>
      </c>
      <c r="J18" s="3" t="s">
        <v>40</v>
      </c>
      <c r="K18" s="3" t="s">
        <v>91</v>
      </c>
    </row>
    <row r="19" spans="1:11" ht="33.75" x14ac:dyDescent="0.25">
      <c r="A19" s="56">
        <v>15</v>
      </c>
      <c r="B19" s="170" t="s">
        <v>97</v>
      </c>
      <c r="C19" s="6" t="s">
        <v>708</v>
      </c>
      <c r="D19" s="139">
        <v>250</v>
      </c>
      <c r="E19" s="8" t="s">
        <v>11</v>
      </c>
      <c r="F19" s="149">
        <v>1325</v>
      </c>
      <c r="G19" s="168">
        <f t="shared" si="0"/>
        <v>331250</v>
      </c>
      <c r="H19" s="3" t="s">
        <v>535</v>
      </c>
      <c r="I19" s="6" t="s">
        <v>120</v>
      </c>
      <c r="J19" s="3" t="s">
        <v>40</v>
      </c>
      <c r="K19" s="3" t="s">
        <v>79</v>
      </c>
    </row>
    <row r="20" spans="1:11" ht="33.75" x14ac:dyDescent="0.25">
      <c r="A20" s="56">
        <v>16</v>
      </c>
      <c r="B20" s="170" t="s">
        <v>103</v>
      </c>
      <c r="C20" s="6" t="s">
        <v>708</v>
      </c>
      <c r="D20" s="139">
        <v>1000</v>
      </c>
      <c r="E20" s="8" t="s">
        <v>69</v>
      </c>
      <c r="F20" s="149">
        <v>3365</v>
      </c>
      <c r="G20" s="168">
        <f t="shared" si="0"/>
        <v>3365000</v>
      </c>
      <c r="H20" s="3" t="s">
        <v>535</v>
      </c>
      <c r="I20" s="6" t="s">
        <v>120</v>
      </c>
      <c r="J20" s="3" t="s">
        <v>40</v>
      </c>
      <c r="K20" s="3" t="s">
        <v>81</v>
      </c>
    </row>
    <row r="21" spans="1:11" ht="33.75" x14ac:dyDescent="0.25">
      <c r="A21" s="56">
        <v>17</v>
      </c>
      <c r="B21" s="170" t="s">
        <v>105</v>
      </c>
      <c r="C21" s="6" t="s">
        <v>708</v>
      </c>
      <c r="D21" s="139">
        <v>1000</v>
      </c>
      <c r="E21" s="8" t="s">
        <v>69</v>
      </c>
      <c r="F21" s="149">
        <v>760</v>
      </c>
      <c r="G21" s="168">
        <f t="shared" si="0"/>
        <v>760000</v>
      </c>
      <c r="H21" s="3" t="s">
        <v>535</v>
      </c>
      <c r="I21" s="6" t="s">
        <v>120</v>
      </c>
      <c r="J21" s="3" t="s">
        <v>40</v>
      </c>
      <c r="K21" s="3" t="s">
        <v>92</v>
      </c>
    </row>
    <row r="22" spans="1:11" ht="33.75" x14ac:dyDescent="0.25">
      <c r="A22" s="56">
        <v>18</v>
      </c>
      <c r="B22" s="170" t="s">
        <v>952</v>
      </c>
      <c r="C22" s="6" t="s">
        <v>708</v>
      </c>
      <c r="D22" s="139">
        <v>500</v>
      </c>
      <c r="E22" s="8" t="s">
        <v>84</v>
      </c>
      <c r="F22" s="149">
        <v>2020</v>
      </c>
      <c r="G22" s="168">
        <f t="shared" si="0"/>
        <v>1010000</v>
      </c>
      <c r="H22" s="3" t="s">
        <v>535</v>
      </c>
      <c r="I22" s="6" t="s">
        <v>120</v>
      </c>
      <c r="J22" s="3" t="s">
        <v>40</v>
      </c>
      <c r="K22" s="3" t="s">
        <v>83</v>
      </c>
    </row>
    <row r="23" spans="1:11" ht="33.75" x14ac:dyDescent="0.25">
      <c r="A23" s="56">
        <v>19</v>
      </c>
      <c r="B23" s="170" t="s">
        <v>106</v>
      </c>
      <c r="C23" s="6" t="s">
        <v>708</v>
      </c>
      <c r="D23" s="139">
        <v>550</v>
      </c>
      <c r="E23" s="8" t="s">
        <v>84</v>
      </c>
      <c r="F23" s="149">
        <v>675</v>
      </c>
      <c r="G23" s="168">
        <f t="shared" si="0"/>
        <v>371250</v>
      </c>
      <c r="H23" s="3" t="s">
        <v>535</v>
      </c>
      <c r="I23" s="6" t="s">
        <v>120</v>
      </c>
      <c r="J23" s="3" t="s">
        <v>40</v>
      </c>
      <c r="K23" s="3" t="s">
        <v>85</v>
      </c>
    </row>
    <row r="24" spans="1:11" ht="33.75" x14ac:dyDescent="0.25">
      <c r="A24" s="56">
        <v>20</v>
      </c>
      <c r="B24" s="170" t="s">
        <v>107</v>
      </c>
      <c r="C24" s="6" t="s">
        <v>708</v>
      </c>
      <c r="D24" s="139">
        <v>500</v>
      </c>
      <c r="E24" s="8" t="s">
        <v>11</v>
      </c>
      <c r="F24" s="149">
        <v>675</v>
      </c>
      <c r="G24" s="168">
        <f t="shared" si="0"/>
        <v>337500</v>
      </c>
      <c r="H24" s="3" t="s">
        <v>535</v>
      </c>
      <c r="I24" s="6" t="s">
        <v>120</v>
      </c>
      <c r="J24" s="3" t="s">
        <v>40</v>
      </c>
      <c r="K24" s="3" t="s">
        <v>86</v>
      </c>
    </row>
    <row r="25" spans="1:11" ht="33.75" x14ac:dyDescent="0.25">
      <c r="A25" s="56">
        <v>21</v>
      </c>
      <c r="B25" s="170" t="s">
        <v>953</v>
      </c>
      <c r="C25" s="6" t="s">
        <v>708</v>
      </c>
      <c r="D25" s="139">
        <v>150</v>
      </c>
      <c r="E25" s="8" t="s">
        <v>11</v>
      </c>
      <c r="F25" s="149">
        <v>630</v>
      </c>
      <c r="G25" s="168">
        <f t="shared" si="0"/>
        <v>94500</v>
      </c>
      <c r="H25" s="3" t="s">
        <v>535</v>
      </c>
      <c r="I25" s="6" t="s">
        <v>120</v>
      </c>
      <c r="J25" s="3" t="s">
        <v>40</v>
      </c>
      <c r="K25" s="3" t="s">
        <v>87</v>
      </c>
    </row>
    <row r="26" spans="1:11" ht="33.75" x14ac:dyDescent="0.25">
      <c r="A26" s="56">
        <v>22</v>
      </c>
      <c r="B26" s="170" t="s">
        <v>954</v>
      </c>
      <c r="C26" s="6" t="s">
        <v>708</v>
      </c>
      <c r="D26" s="139">
        <v>120</v>
      </c>
      <c r="E26" s="8" t="s">
        <v>11</v>
      </c>
      <c r="F26" s="149">
        <v>41000</v>
      </c>
      <c r="G26" s="168">
        <f t="shared" si="0"/>
        <v>4920000</v>
      </c>
      <c r="H26" s="3" t="s">
        <v>535</v>
      </c>
      <c r="I26" s="6" t="s">
        <v>120</v>
      </c>
      <c r="J26" s="3" t="s">
        <v>40</v>
      </c>
      <c r="K26" s="3"/>
    </row>
    <row r="27" spans="1:11" ht="33.75" x14ac:dyDescent="0.25">
      <c r="A27" s="56">
        <v>23</v>
      </c>
      <c r="B27" s="170" t="s">
        <v>955</v>
      </c>
      <c r="C27" s="6" t="s">
        <v>708</v>
      </c>
      <c r="D27" s="139">
        <v>2000</v>
      </c>
      <c r="E27" s="8" t="s">
        <v>11</v>
      </c>
      <c r="F27" s="149">
        <v>169</v>
      </c>
      <c r="G27" s="168">
        <f t="shared" si="0"/>
        <v>338000</v>
      </c>
      <c r="H27" s="3" t="s">
        <v>535</v>
      </c>
      <c r="I27" s="6" t="s">
        <v>120</v>
      </c>
      <c r="J27" s="3" t="s">
        <v>40</v>
      </c>
      <c r="K27" s="3" t="s">
        <v>93</v>
      </c>
    </row>
    <row r="28" spans="1:11" ht="33.75" x14ac:dyDescent="0.25">
      <c r="A28" s="56">
        <v>24</v>
      </c>
      <c r="B28" s="170" t="s">
        <v>956</v>
      </c>
      <c r="C28" s="6" t="s">
        <v>708</v>
      </c>
      <c r="D28" s="139">
        <v>100</v>
      </c>
      <c r="E28" s="8" t="s">
        <v>11</v>
      </c>
      <c r="F28" s="149">
        <v>305</v>
      </c>
      <c r="G28" s="168">
        <f t="shared" si="0"/>
        <v>30500</v>
      </c>
      <c r="H28" s="3" t="s">
        <v>535</v>
      </c>
      <c r="I28" s="6" t="s">
        <v>120</v>
      </c>
      <c r="J28" s="3" t="s">
        <v>40</v>
      </c>
      <c r="K28" s="3" t="s">
        <v>94</v>
      </c>
    </row>
    <row r="29" spans="1:11" ht="33.75" x14ac:dyDescent="0.25">
      <c r="A29" s="56">
        <v>25</v>
      </c>
      <c r="B29" s="170" t="s">
        <v>957</v>
      </c>
      <c r="C29" s="6" t="s">
        <v>708</v>
      </c>
      <c r="D29" s="139">
        <v>100</v>
      </c>
      <c r="E29" s="8" t="s">
        <v>95</v>
      </c>
      <c r="F29" s="149">
        <v>465</v>
      </c>
      <c r="G29" s="168">
        <f t="shared" si="0"/>
        <v>46500</v>
      </c>
      <c r="H29" s="3" t="s">
        <v>535</v>
      </c>
      <c r="I29" s="6" t="s">
        <v>120</v>
      </c>
      <c r="J29" s="3" t="s">
        <v>40</v>
      </c>
      <c r="K29" s="3" t="s">
        <v>95</v>
      </c>
    </row>
    <row r="30" spans="1:11" ht="33.75" x14ac:dyDescent="0.25">
      <c r="A30" s="56">
        <v>26</v>
      </c>
      <c r="B30" s="170" t="s">
        <v>958</v>
      </c>
      <c r="C30" s="6" t="s">
        <v>708</v>
      </c>
      <c r="D30" s="139">
        <v>100</v>
      </c>
      <c r="E30" s="8" t="s">
        <v>69</v>
      </c>
      <c r="F30" s="149">
        <v>150</v>
      </c>
      <c r="G30" s="168">
        <f t="shared" si="0"/>
        <v>15000</v>
      </c>
      <c r="H30" s="3" t="s">
        <v>535</v>
      </c>
      <c r="I30" s="6" t="s">
        <v>120</v>
      </c>
      <c r="J30" s="3" t="s">
        <v>40</v>
      </c>
      <c r="K30" s="3" t="s">
        <v>69</v>
      </c>
    </row>
    <row r="31" spans="1:11" ht="33.75" x14ac:dyDescent="0.25">
      <c r="A31" s="56">
        <v>27</v>
      </c>
      <c r="B31" s="170" t="s">
        <v>959</v>
      </c>
      <c r="C31" s="6" t="s">
        <v>708</v>
      </c>
      <c r="D31" s="139">
        <v>300</v>
      </c>
      <c r="E31" s="8" t="s">
        <v>98</v>
      </c>
      <c r="F31" s="149">
        <v>675</v>
      </c>
      <c r="G31" s="168">
        <f t="shared" si="0"/>
        <v>202500</v>
      </c>
      <c r="H31" s="3" t="s">
        <v>535</v>
      </c>
      <c r="I31" s="6" t="s">
        <v>120</v>
      </c>
      <c r="J31" s="3" t="s">
        <v>40</v>
      </c>
      <c r="K31" s="3" t="s">
        <v>101</v>
      </c>
    </row>
    <row r="32" spans="1:11" ht="33.75" x14ac:dyDescent="0.25">
      <c r="A32" s="56">
        <v>28</v>
      </c>
      <c r="B32" s="170" t="s">
        <v>960</v>
      </c>
      <c r="C32" s="6" t="s">
        <v>708</v>
      </c>
      <c r="D32" s="139">
        <v>100</v>
      </c>
      <c r="E32" s="8" t="s">
        <v>100</v>
      </c>
      <c r="F32" s="149">
        <v>15000</v>
      </c>
      <c r="G32" s="168">
        <v>0</v>
      </c>
      <c r="H32" s="3" t="s">
        <v>535</v>
      </c>
      <c r="I32" s="6" t="s">
        <v>120</v>
      </c>
      <c r="J32" s="3" t="s">
        <v>40</v>
      </c>
      <c r="K32" s="3" t="s">
        <v>95</v>
      </c>
    </row>
    <row r="33" spans="1:11" ht="33.75" x14ac:dyDescent="0.25">
      <c r="A33" s="56">
        <v>29</v>
      </c>
      <c r="B33" s="170" t="s">
        <v>961</v>
      </c>
      <c r="C33" s="6" t="s">
        <v>708</v>
      </c>
      <c r="D33" s="139">
        <v>100</v>
      </c>
      <c r="E33" s="8" t="s">
        <v>11</v>
      </c>
      <c r="F33" s="149">
        <v>2650</v>
      </c>
      <c r="G33" s="168">
        <f t="shared" ref="G33:G73" si="1">D33*F33</f>
        <v>265000</v>
      </c>
      <c r="H33" s="3" t="s">
        <v>535</v>
      </c>
      <c r="I33" s="6" t="s">
        <v>120</v>
      </c>
      <c r="J33" s="3" t="s">
        <v>40</v>
      </c>
      <c r="K33" s="3" t="s">
        <v>913</v>
      </c>
    </row>
    <row r="34" spans="1:11" ht="45" x14ac:dyDescent="0.25">
      <c r="A34" s="56">
        <v>30</v>
      </c>
      <c r="B34" s="170" t="s">
        <v>962</v>
      </c>
      <c r="C34" s="6" t="s">
        <v>708</v>
      </c>
      <c r="D34" s="139">
        <v>200</v>
      </c>
      <c r="E34" s="8" t="s">
        <v>11</v>
      </c>
      <c r="F34" s="149">
        <v>3615</v>
      </c>
      <c r="G34" s="168">
        <f t="shared" si="1"/>
        <v>723000</v>
      </c>
      <c r="H34" s="3" t="s">
        <v>535</v>
      </c>
      <c r="I34" s="6" t="s">
        <v>120</v>
      </c>
      <c r="J34" s="3" t="s">
        <v>40</v>
      </c>
      <c r="K34" s="3" t="s">
        <v>99</v>
      </c>
    </row>
    <row r="35" spans="1:11" ht="45" x14ac:dyDescent="0.25">
      <c r="A35" s="56">
        <v>31</v>
      </c>
      <c r="B35" s="170" t="s">
        <v>108</v>
      </c>
      <c r="C35" s="6" t="s">
        <v>708</v>
      </c>
      <c r="D35" s="139">
        <v>200</v>
      </c>
      <c r="E35" s="8" t="s">
        <v>11</v>
      </c>
      <c r="F35" s="149">
        <v>1515</v>
      </c>
      <c r="G35" s="168">
        <f t="shared" si="1"/>
        <v>303000</v>
      </c>
      <c r="H35" s="3" t="s">
        <v>535</v>
      </c>
      <c r="I35" s="6" t="s">
        <v>120</v>
      </c>
      <c r="J35" s="3" t="s">
        <v>40</v>
      </c>
      <c r="K35" s="3" t="s">
        <v>99</v>
      </c>
    </row>
    <row r="36" spans="1:11" ht="33.75" x14ac:dyDescent="0.25">
      <c r="A36" s="56">
        <v>32</v>
      </c>
      <c r="B36" s="170" t="s">
        <v>963</v>
      </c>
      <c r="C36" s="6" t="s">
        <v>708</v>
      </c>
      <c r="D36" s="139">
        <v>20</v>
      </c>
      <c r="E36" s="8" t="s">
        <v>146</v>
      </c>
      <c r="F36" s="149">
        <v>38500</v>
      </c>
      <c r="G36" s="168">
        <f t="shared" si="1"/>
        <v>770000</v>
      </c>
      <c r="H36" s="3" t="s">
        <v>535</v>
      </c>
      <c r="I36" s="6" t="s">
        <v>120</v>
      </c>
      <c r="J36" s="3" t="s">
        <v>40</v>
      </c>
      <c r="K36" s="3" t="s">
        <v>145</v>
      </c>
    </row>
    <row r="37" spans="1:11" ht="33.75" x14ac:dyDescent="0.25">
      <c r="A37" s="56">
        <v>33</v>
      </c>
      <c r="B37" s="170" t="s">
        <v>964</v>
      </c>
      <c r="C37" s="6" t="s">
        <v>708</v>
      </c>
      <c r="D37" s="139">
        <v>150</v>
      </c>
      <c r="E37" s="8" t="s">
        <v>11</v>
      </c>
      <c r="F37" s="149">
        <v>2750</v>
      </c>
      <c r="G37" s="168">
        <f t="shared" si="1"/>
        <v>412500</v>
      </c>
      <c r="H37" s="3" t="s">
        <v>535</v>
      </c>
      <c r="I37" s="6" t="s">
        <v>120</v>
      </c>
      <c r="J37" s="3" t="s">
        <v>40</v>
      </c>
      <c r="K37" s="3" t="s">
        <v>104</v>
      </c>
    </row>
    <row r="38" spans="1:11" ht="33.75" x14ac:dyDescent="0.25">
      <c r="A38" s="56">
        <v>34</v>
      </c>
      <c r="B38" s="170" t="s">
        <v>109</v>
      </c>
      <c r="C38" s="6" t="s">
        <v>708</v>
      </c>
      <c r="D38" s="139">
        <v>50</v>
      </c>
      <c r="E38" s="8" t="s">
        <v>11</v>
      </c>
      <c r="F38" s="149">
        <v>6219</v>
      </c>
      <c r="G38" s="168">
        <f t="shared" si="1"/>
        <v>310950</v>
      </c>
      <c r="H38" s="3" t="s">
        <v>535</v>
      </c>
      <c r="I38" s="6" t="s">
        <v>120</v>
      </c>
      <c r="J38" s="3" t="s">
        <v>40</v>
      </c>
      <c r="K38" s="3" t="s">
        <v>112</v>
      </c>
    </row>
    <row r="39" spans="1:11" ht="33.75" x14ac:dyDescent="0.25">
      <c r="A39" s="56">
        <v>35</v>
      </c>
      <c r="B39" s="170" t="s">
        <v>965</v>
      </c>
      <c r="C39" s="6" t="s">
        <v>708</v>
      </c>
      <c r="D39" s="139">
        <v>100</v>
      </c>
      <c r="E39" s="8" t="s">
        <v>11</v>
      </c>
      <c r="F39" s="149">
        <v>5969</v>
      </c>
      <c r="G39" s="168">
        <f t="shared" si="1"/>
        <v>596900</v>
      </c>
      <c r="H39" s="3" t="s">
        <v>535</v>
      </c>
      <c r="I39" s="6" t="s">
        <v>120</v>
      </c>
      <c r="J39" s="3" t="s">
        <v>40</v>
      </c>
      <c r="K39" s="3" t="s">
        <v>130</v>
      </c>
    </row>
    <row r="40" spans="1:11" ht="33.75" x14ac:dyDescent="0.25">
      <c r="A40" s="56">
        <v>36</v>
      </c>
      <c r="B40" s="170" t="s">
        <v>966</v>
      </c>
      <c r="C40" s="6" t="s">
        <v>708</v>
      </c>
      <c r="D40" s="139">
        <v>100</v>
      </c>
      <c r="E40" s="8" t="s">
        <v>11</v>
      </c>
      <c r="F40" s="149">
        <v>1980</v>
      </c>
      <c r="G40" s="168">
        <f t="shared" si="1"/>
        <v>198000</v>
      </c>
      <c r="H40" s="3" t="s">
        <v>535</v>
      </c>
      <c r="I40" s="6" t="s">
        <v>120</v>
      </c>
      <c r="J40" s="3" t="s">
        <v>40</v>
      </c>
      <c r="K40" s="3" t="s">
        <v>131</v>
      </c>
    </row>
    <row r="41" spans="1:11" ht="33.75" x14ac:dyDescent="0.25">
      <c r="A41" s="56">
        <v>37</v>
      </c>
      <c r="B41" s="170" t="s">
        <v>110</v>
      </c>
      <c r="C41" s="6" t="s">
        <v>708</v>
      </c>
      <c r="D41" s="139">
        <v>150</v>
      </c>
      <c r="E41" s="8"/>
      <c r="F41" s="149">
        <v>1500</v>
      </c>
      <c r="G41" s="168">
        <f t="shared" si="1"/>
        <v>225000</v>
      </c>
      <c r="H41" s="3" t="s">
        <v>535</v>
      </c>
      <c r="I41" s="6" t="s">
        <v>120</v>
      </c>
      <c r="J41" s="3" t="s">
        <v>40</v>
      </c>
      <c r="K41" s="3" t="s">
        <v>132</v>
      </c>
    </row>
    <row r="42" spans="1:11" ht="33.75" x14ac:dyDescent="0.25">
      <c r="A42" s="56">
        <v>38</v>
      </c>
      <c r="B42" s="170" t="s">
        <v>967</v>
      </c>
      <c r="C42" s="6" t="s">
        <v>708</v>
      </c>
      <c r="D42" s="139">
        <v>20</v>
      </c>
      <c r="E42" s="8" t="s">
        <v>11</v>
      </c>
      <c r="F42" s="149">
        <v>1500</v>
      </c>
      <c r="G42" s="168">
        <f t="shared" si="1"/>
        <v>30000</v>
      </c>
      <c r="H42" s="3" t="s">
        <v>535</v>
      </c>
      <c r="I42" s="6" t="s">
        <v>120</v>
      </c>
      <c r="J42" s="3" t="s">
        <v>40</v>
      </c>
      <c r="K42" s="3" t="s">
        <v>914</v>
      </c>
    </row>
    <row r="43" spans="1:11" ht="33.75" x14ac:dyDescent="0.25">
      <c r="A43" s="56">
        <v>39</v>
      </c>
      <c r="B43" s="170" t="s">
        <v>968</v>
      </c>
      <c r="C43" s="6" t="s">
        <v>708</v>
      </c>
      <c r="D43" s="139">
        <v>50</v>
      </c>
      <c r="E43" s="8" t="s">
        <v>11</v>
      </c>
      <c r="F43" s="149">
        <v>3400</v>
      </c>
      <c r="G43" s="168">
        <f t="shared" si="1"/>
        <v>170000</v>
      </c>
      <c r="H43" s="3" t="s">
        <v>535</v>
      </c>
      <c r="I43" s="6" t="s">
        <v>120</v>
      </c>
      <c r="J43" s="3" t="s">
        <v>40</v>
      </c>
      <c r="K43" s="3" t="s">
        <v>133</v>
      </c>
    </row>
    <row r="44" spans="1:11" ht="33.75" x14ac:dyDescent="0.25">
      <c r="A44" s="56">
        <v>40</v>
      </c>
      <c r="B44" s="170" t="s">
        <v>969</v>
      </c>
      <c r="C44" s="6" t="s">
        <v>708</v>
      </c>
      <c r="D44" s="139">
        <v>200</v>
      </c>
      <c r="E44" s="8" t="s">
        <v>11</v>
      </c>
      <c r="F44" s="149">
        <v>188</v>
      </c>
      <c r="G44" s="168">
        <f t="shared" si="1"/>
        <v>37600</v>
      </c>
      <c r="H44" s="3" t="s">
        <v>535</v>
      </c>
      <c r="I44" s="6" t="s">
        <v>120</v>
      </c>
      <c r="J44" s="3" t="s">
        <v>40</v>
      </c>
      <c r="K44" s="3" t="s">
        <v>113</v>
      </c>
    </row>
    <row r="45" spans="1:11" ht="33.75" x14ac:dyDescent="0.25">
      <c r="A45" s="56">
        <v>41</v>
      </c>
      <c r="B45" s="170" t="s">
        <v>111</v>
      </c>
      <c r="C45" s="6" t="s">
        <v>708</v>
      </c>
      <c r="D45" s="139">
        <v>500</v>
      </c>
      <c r="E45" s="8" t="s">
        <v>11</v>
      </c>
      <c r="F45" s="149">
        <v>800</v>
      </c>
      <c r="G45" s="168">
        <f t="shared" si="1"/>
        <v>400000</v>
      </c>
      <c r="H45" s="3" t="s">
        <v>535</v>
      </c>
      <c r="I45" s="6" t="s">
        <v>120</v>
      </c>
      <c r="J45" s="3" t="s">
        <v>40</v>
      </c>
      <c r="K45" s="3" t="s">
        <v>134</v>
      </c>
    </row>
    <row r="46" spans="1:11" ht="33.75" x14ac:dyDescent="0.25">
      <c r="A46" s="56">
        <v>42</v>
      </c>
      <c r="B46" s="170" t="s">
        <v>970</v>
      </c>
      <c r="C46" s="6" t="s">
        <v>708</v>
      </c>
      <c r="D46" s="139">
        <v>100</v>
      </c>
      <c r="E46" s="8" t="s">
        <v>11</v>
      </c>
      <c r="F46" s="149">
        <v>1092</v>
      </c>
      <c r="G46" s="168">
        <f t="shared" si="1"/>
        <v>109200</v>
      </c>
      <c r="H46" s="3" t="s">
        <v>535</v>
      </c>
      <c r="I46" s="6" t="s">
        <v>120</v>
      </c>
      <c r="J46" s="3" t="s">
        <v>40</v>
      </c>
      <c r="K46" s="3" t="s">
        <v>135</v>
      </c>
    </row>
    <row r="47" spans="1:11" ht="33.75" x14ac:dyDescent="0.25">
      <c r="A47" s="56">
        <v>43</v>
      </c>
      <c r="B47" s="170" t="s">
        <v>965</v>
      </c>
      <c r="C47" s="6" t="s">
        <v>708</v>
      </c>
      <c r="D47" s="139">
        <v>100</v>
      </c>
      <c r="E47" s="8" t="s">
        <v>11</v>
      </c>
      <c r="F47" s="149">
        <v>5966</v>
      </c>
      <c r="G47" s="168">
        <f t="shared" si="1"/>
        <v>596600</v>
      </c>
      <c r="H47" s="3" t="s">
        <v>535</v>
      </c>
      <c r="I47" s="6" t="s">
        <v>120</v>
      </c>
      <c r="J47" s="3" t="s">
        <v>40</v>
      </c>
      <c r="K47" s="3" t="s">
        <v>114</v>
      </c>
    </row>
    <row r="48" spans="1:11" ht="33.75" x14ac:dyDescent="0.25">
      <c r="A48" s="56">
        <v>44</v>
      </c>
      <c r="B48" s="170" t="s">
        <v>971</v>
      </c>
      <c r="C48" s="6" t="s">
        <v>708</v>
      </c>
      <c r="D48" s="139">
        <v>500</v>
      </c>
      <c r="E48" s="8" t="s">
        <v>11</v>
      </c>
      <c r="F48" s="149">
        <v>420</v>
      </c>
      <c r="G48" s="168">
        <f t="shared" si="1"/>
        <v>210000</v>
      </c>
      <c r="H48" s="3" t="s">
        <v>535</v>
      </c>
      <c r="I48" s="6" t="s">
        <v>120</v>
      </c>
      <c r="J48" s="3" t="s">
        <v>40</v>
      </c>
      <c r="K48" s="3" t="s">
        <v>136</v>
      </c>
    </row>
    <row r="49" spans="1:11" ht="33.75" x14ac:dyDescent="0.25">
      <c r="A49" s="56">
        <v>45</v>
      </c>
      <c r="B49" s="170" t="s">
        <v>972</v>
      </c>
      <c r="C49" s="6" t="s">
        <v>708</v>
      </c>
      <c r="D49" s="139">
        <v>500</v>
      </c>
      <c r="E49" s="66"/>
      <c r="F49" s="149">
        <v>1310</v>
      </c>
      <c r="G49" s="168">
        <f t="shared" si="1"/>
        <v>655000</v>
      </c>
      <c r="H49" s="3" t="s">
        <v>535</v>
      </c>
      <c r="I49" s="6" t="s">
        <v>120</v>
      </c>
      <c r="J49" s="3" t="s">
        <v>40</v>
      </c>
      <c r="K49" s="3" t="s">
        <v>137</v>
      </c>
    </row>
    <row r="50" spans="1:11" ht="33.75" x14ac:dyDescent="0.25">
      <c r="A50" s="56">
        <v>46</v>
      </c>
      <c r="B50" s="170" t="s">
        <v>973</v>
      </c>
      <c r="C50" s="6" t="s">
        <v>708</v>
      </c>
      <c r="D50" s="139">
        <v>800</v>
      </c>
      <c r="E50" s="8" t="s">
        <v>11</v>
      </c>
      <c r="F50" s="149">
        <v>420</v>
      </c>
      <c r="G50" s="168">
        <f t="shared" si="1"/>
        <v>336000</v>
      </c>
      <c r="H50" s="3" t="s">
        <v>535</v>
      </c>
      <c r="I50" s="6" t="s">
        <v>120</v>
      </c>
      <c r="J50" s="3" t="s">
        <v>40</v>
      </c>
      <c r="K50" s="3" t="s">
        <v>138</v>
      </c>
    </row>
    <row r="51" spans="1:11" ht="33.75" x14ac:dyDescent="0.25">
      <c r="A51" s="56">
        <v>47</v>
      </c>
      <c r="B51" s="170" t="s">
        <v>82</v>
      </c>
      <c r="C51" s="6" t="s">
        <v>708</v>
      </c>
      <c r="D51" s="139">
        <v>200</v>
      </c>
      <c r="E51" s="8" t="s">
        <v>11</v>
      </c>
      <c r="F51" s="149">
        <v>800</v>
      </c>
      <c r="G51" s="168">
        <f t="shared" si="1"/>
        <v>160000</v>
      </c>
      <c r="H51" s="3" t="s">
        <v>535</v>
      </c>
      <c r="I51" s="6" t="s">
        <v>120</v>
      </c>
      <c r="J51" s="3" t="s">
        <v>40</v>
      </c>
      <c r="K51" s="3" t="s">
        <v>139</v>
      </c>
    </row>
    <row r="52" spans="1:11" ht="33.75" x14ac:dyDescent="0.25">
      <c r="A52" s="56">
        <v>48</v>
      </c>
      <c r="B52" s="170" t="s">
        <v>974</v>
      </c>
      <c r="C52" s="6" t="s">
        <v>708</v>
      </c>
      <c r="D52" s="139">
        <v>15</v>
      </c>
      <c r="E52" s="8" t="s">
        <v>11</v>
      </c>
      <c r="F52" s="149">
        <v>2000</v>
      </c>
      <c r="G52" s="168">
        <f t="shared" si="1"/>
        <v>30000</v>
      </c>
      <c r="H52" s="3" t="s">
        <v>535</v>
      </c>
      <c r="I52" s="6" t="s">
        <v>120</v>
      </c>
      <c r="J52" s="3" t="s">
        <v>40</v>
      </c>
      <c r="K52" s="3" t="s">
        <v>140</v>
      </c>
    </row>
    <row r="53" spans="1:11" ht="33.75" x14ac:dyDescent="0.25">
      <c r="A53" s="56">
        <v>49</v>
      </c>
      <c r="B53" s="170" t="s">
        <v>975</v>
      </c>
      <c r="C53" s="6" t="s">
        <v>708</v>
      </c>
      <c r="D53" s="139">
        <v>20</v>
      </c>
      <c r="E53" s="8" t="s">
        <v>11</v>
      </c>
      <c r="F53" s="149">
        <v>35000</v>
      </c>
      <c r="G53" s="168">
        <f t="shared" si="1"/>
        <v>700000</v>
      </c>
      <c r="H53" s="3" t="s">
        <v>535</v>
      </c>
      <c r="I53" s="6" t="s">
        <v>120</v>
      </c>
      <c r="J53" s="3" t="s">
        <v>40</v>
      </c>
      <c r="K53" s="3" t="s">
        <v>115</v>
      </c>
    </row>
    <row r="54" spans="1:11" ht="33.75" x14ac:dyDescent="0.25">
      <c r="A54" s="56">
        <v>50</v>
      </c>
      <c r="B54" s="170" t="s">
        <v>976</v>
      </c>
      <c r="C54" s="6" t="s">
        <v>708</v>
      </c>
      <c r="D54" s="139">
        <v>20</v>
      </c>
      <c r="E54" s="8" t="s">
        <v>11</v>
      </c>
      <c r="F54" s="149">
        <v>52101</v>
      </c>
      <c r="G54" s="168">
        <f t="shared" si="1"/>
        <v>1042020</v>
      </c>
      <c r="H54" s="3" t="s">
        <v>535</v>
      </c>
      <c r="I54" s="6" t="s">
        <v>120</v>
      </c>
      <c r="J54" s="3" t="s">
        <v>40</v>
      </c>
      <c r="K54" s="3" t="s">
        <v>116</v>
      </c>
    </row>
    <row r="55" spans="1:11" ht="33.75" x14ac:dyDescent="0.25">
      <c r="A55" s="56">
        <v>51</v>
      </c>
      <c r="B55" s="170" t="s">
        <v>977</v>
      </c>
      <c r="C55" s="6" t="s">
        <v>708</v>
      </c>
      <c r="D55" s="139">
        <v>20</v>
      </c>
      <c r="E55" s="8" t="s">
        <v>11</v>
      </c>
      <c r="F55" s="149">
        <v>2647</v>
      </c>
      <c r="G55" s="168">
        <f t="shared" si="1"/>
        <v>52940</v>
      </c>
      <c r="H55" s="3" t="s">
        <v>535</v>
      </c>
      <c r="I55" s="6" t="s">
        <v>120</v>
      </c>
      <c r="J55" s="3" t="s">
        <v>40</v>
      </c>
      <c r="K55" s="3" t="s">
        <v>117</v>
      </c>
    </row>
    <row r="56" spans="1:11" ht="33.75" x14ac:dyDescent="0.25">
      <c r="A56" s="56">
        <v>52</v>
      </c>
      <c r="B56" s="170" t="s">
        <v>978</v>
      </c>
      <c r="C56" s="6" t="s">
        <v>708</v>
      </c>
      <c r="D56" s="139">
        <v>2</v>
      </c>
      <c r="E56" s="8" t="s">
        <v>11</v>
      </c>
      <c r="F56" s="149">
        <v>2200000</v>
      </c>
      <c r="G56" s="168">
        <f t="shared" si="1"/>
        <v>4400000</v>
      </c>
      <c r="H56" s="3" t="s">
        <v>535</v>
      </c>
      <c r="I56" s="6" t="s">
        <v>120</v>
      </c>
      <c r="J56" s="3" t="s">
        <v>40</v>
      </c>
      <c r="K56" s="3" t="s">
        <v>141</v>
      </c>
    </row>
    <row r="57" spans="1:11" ht="33.75" x14ac:dyDescent="0.25">
      <c r="A57" s="56">
        <v>53</v>
      </c>
      <c r="B57" s="170" t="s">
        <v>979</v>
      </c>
      <c r="C57" s="6" t="s">
        <v>708</v>
      </c>
      <c r="D57" s="139">
        <v>100</v>
      </c>
      <c r="E57" s="8" t="s">
        <v>11</v>
      </c>
      <c r="F57" s="149">
        <v>2535</v>
      </c>
      <c r="G57" s="168">
        <f t="shared" si="1"/>
        <v>253500</v>
      </c>
      <c r="H57" s="3" t="s">
        <v>535</v>
      </c>
      <c r="I57" s="6" t="s">
        <v>120</v>
      </c>
      <c r="J57" s="3" t="s">
        <v>40</v>
      </c>
      <c r="K57" s="3" t="s">
        <v>142</v>
      </c>
    </row>
    <row r="58" spans="1:11" ht="33.75" x14ac:dyDescent="0.25">
      <c r="A58" s="56">
        <v>54</v>
      </c>
      <c r="B58" s="170" t="s">
        <v>980</v>
      </c>
      <c r="C58" s="6" t="s">
        <v>708</v>
      </c>
      <c r="D58" s="139">
        <v>50</v>
      </c>
      <c r="E58" s="8" t="s">
        <v>11</v>
      </c>
      <c r="F58" s="149">
        <f>8992-162</f>
        <v>8830</v>
      </c>
      <c r="G58" s="168">
        <f t="shared" si="1"/>
        <v>441500</v>
      </c>
      <c r="H58" s="3" t="s">
        <v>535</v>
      </c>
      <c r="I58" s="6" t="s">
        <v>120</v>
      </c>
      <c r="J58" s="3" t="s">
        <v>40</v>
      </c>
      <c r="K58" s="3" t="s">
        <v>143</v>
      </c>
    </row>
    <row r="59" spans="1:11" ht="33.75" x14ac:dyDescent="0.25">
      <c r="A59" s="56">
        <v>55</v>
      </c>
      <c r="B59" s="170" t="s">
        <v>981</v>
      </c>
      <c r="C59" s="6" t="s">
        <v>708</v>
      </c>
      <c r="D59" s="139">
        <v>100</v>
      </c>
      <c r="E59" s="8" t="s">
        <v>11</v>
      </c>
      <c r="F59" s="149">
        <v>2270</v>
      </c>
      <c r="G59" s="168">
        <f t="shared" si="1"/>
        <v>227000</v>
      </c>
      <c r="H59" s="3" t="s">
        <v>535</v>
      </c>
      <c r="I59" s="6" t="s">
        <v>120</v>
      </c>
      <c r="J59" s="3" t="s">
        <v>40</v>
      </c>
      <c r="K59" s="3" t="s">
        <v>144</v>
      </c>
    </row>
    <row r="60" spans="1:11" ht="33.75" x14ac:dyDescent="0.25">
      <c r="A60" s="56">
        <v>56</v>
      </c>
      <c r="B60" s="170" t="s">
        <v>982</v>
      </c>
      <c r="C60" s="6" t="s">
        <v>708</v>
      </c>
      <c r="D60" s="139">
        <v>150</v>
      </c>
      <c r="E60" s="8" t="s">
        <v>11</v>
      </c>
      <c r="F60" s="149">
        <v>1681</v>
      </c>
      <c r="G60" s="168">
        <f t="shared" si="1"/>
        <v>252150</v>
      </c>
      <c r="H60" s="3" t="s">
        <v>535</v>
      </c>
      <c r="I60" s="6" t="s">
        <v>120</v>
      </c>
      <c r="J60" s="3" t="s">
        <v>40</v>
      </c>
      <c r="K60" s="3" t="s">
        <v>118</v>
      </c>
    </row>
    <row r="61" spans="1:11" ht="33.75" x14ac:dyDescent="0.25">
      <c r="A61" s="56">
        <v>57</v>
      </c>
      <c r="B61" s="170" t="s">
        <v>983</v>
      </c>
      <c r="C61" s="6" t="s">
        <v>708</v>
      </c>
      <c r="D61" s="139">
        <v>10</v>
      </c>
      <c r="E61" s="8" t="s">
        <v>98</v>
      </c>
      <c r="F61" s="149">
        <v>1176</v>
      </c>
      <c r="G61" s="168">
        <f t="shared" si="1"/>
        <v>11760</v>
      </c>
      <c r="H61" s="3" t="s">
        <v>535</v>
      </c>
      <c r="I61" s="6" t="s">
        <v>120</v>
      </c>
      <c r="J61" s="3" t="s">
        <v>40</v>
      </c>
      <c r="K61" s="3" t="s">
        <v>119</v>
      </c>
    </row>
    <row r="62" spans="1:11" ht="33.75" x14ac:dyDescent="0.25">
      <c r="A62" s="56">
        <v>58</v>
      </c>
      <c r="B62" s="170" t="s">
        <v>984</v>
      </c>
      <c r="C62" s="6" t="s">
        <v>708</v>
      </c>
      <c r="D62" s="139">
        <v>15</v>
      </c>
      <c r="E62" s="8" t="s">
        <v>11</v>
      </c>
      <c r="F62" s="149">
        <v>2605</v>
      </c>
      <c r="G62" s="168">
        <f t="shared" si="1"/>
        <v>39075</v>
      </c>
      <c r="H62" s="3" t="s">
        <v>535</v>
      </c>
      <c r="I62" s="6" t="s">
        <v>120</v>
      </c>
      <c r="J62" s="3" t="s">
        <v>40</v>
      </c>
      <c r="K62" s="3" t="s">
        <v>153</v>
      </c>
    </row>
    <row r="63" spans="1:11" ht="33.75" x14ac:dyDescent="0.25">
      <c r="A63" s="56">
        <v>59</v>
      </c>
      <c r="B63" s="170" t="s">
        <v>985</v>
      </c>
      <c r="C63" s="6" t="s">
        <v>708</v>
      </c>
      <c r="D63" s="139">
        <v>100</v>
      </c>
      <c r="E63" s="8" t="s">
        <v>11</v>
      </c>
      <c r="F63" s="149">
        <v>10504</v>
      </c>
      <c r="G63" s="168">
        <f t="shared" si="1"/>
        <v>1050400</v>
      </c>
      <c r="H63" s="3" t="s">
        <v>535</v>
      </c>
      <c r="I63" s="6" t="s">
        <v>120</v>
      </c>
      <c r="J63" s="3" t="s">
        <v>40</v>
      </c>
      <c r="K63" s="3" t="s">
        <v>154</v>
      </c>
    </row>
    <row r="64" spans="1:11" ht="45" x14ac:dyDescent="0.25">
      <c r="A64" s="56">
        <v>60</v>
      </c>
      <c r="B64" s="170" t="s">
        <v>986</v>
      </c>
      <c r="C64" s="6" t="s">
        <v>708</v>
      </c>
      <c r="D64" s="139">
        <v>16</v>
      </c>
      <c r="E64" s="8" t="s">
        <v>149</v>
      </c>
      <c r="F64" s="149">
        <v>45000</v>
      </c>
      <c r="G64" s="168">
        <f t="shared" si="1"/>
        <v>720000</v>
      </c>
      <c r="H64" s="3" t="s">
        <v>535</v>
      </c>
      <c r="I64" s="6" t="s">
        <v>120</v>
      </c>
      <c r="J64" s="3" t="s">
        <v>40</v>
      </c>
      <c r="K64" s="3" t="s">
        <v>150</v>
      </c>
    </row>
    <row r="65" spans="1:14" ht="33.75" x14ac:dyDescent="0.25">
      <c r="A65" s="56">
        <v>61</v>
      </c>
      <c r="B65" s="170" t="s">
        <v>987</v>
      </c>
      <c r="C65" s="6" t="s">
        <v>708</v>
      </c>
      <c r="D65" s="139">
        <v>52</v>
      </c>
      <c r="E65" s="8" t="s">
        <v>11</v>
      </c>
      <c r="F65" s="149">
        <v>3277</v>
      </c>
      <c r="G65" s="169">
        <f t="shared" si="1"/>
        <v>170404</v>
      </c>
      <c r="H65" s="3" t="s">
        <v>535</v>
      </c>
      <c r="I65" s="6" t="s">
        <v>120</v>
      </c>
      <c r="J65" s="3" t="s">
        <v>40</v>
      </c>
      <c r="K65" s="3" t="s">
        <v>156</v>
      </c>
    </row>
    <row r="66" spans="1:14" ht="33.75" x14ac:dyDescent="0.25">
      <c r="A66" s="56">
        <v>62</v>
      </c>
      <c r="B66" s="170" t="s">
        <v>988</v>
      </c>
      <c r="C66" s="6" t="s">
        <v>708</v>
      </c>
      <c r="D66" s="139">
        <v>250</v>
      </c>
      <c r="E66" s="8" t="s">
        <v>11</v>
      </c>
      <c r="F66" s="149">
        <v>168</v>
      </c>
      <c r="G66" s="169">
        <f t="shared" si="1"/>
        <v>42000</v>
      </c>
      <c r="H66" s="3" t="s">
        <v>535</v>
      </c>
      <c r="I66" s="6" t="s">
        <v>120</v>
      </c>
      <c r="J66" s="3" t="s">
        <v>40</v>
      </c>
      <c r="K66" s="3" t="s">
        <v>155</v>
      </c>
    </row>
    <row r="67" spans="1:14" ht="33.75" x14ac:dyDescent="0.25">
      <c r="A67" s="56">
        <v>63</v>
      </c>
      <c r="B67" s="170" t="s">
        <v>989</v>
      </c>
      <c r="C67" s="6" t="s">
        <v>708</v>
      </c>
      <c r="D67" s="139">
        <v>8</v>
      </c>
      <c r="E67" s="8" t="s">
        <v>11</v>
      </c>
      <c r="F67" s="149">
        <v>1681</v>
      </c>
      <c r="G67" s="169">
        <f t="shared" si="1"/>
        <v>13448</v>
      </c>
      <c r="H67" s="3" t="s">
        <v>535</v>
      </c>
      <c r="I67" s="6" t="s">
        <v>120</v>
      </c>
      <c r="J67" s="3" t="s">
        <v>40</v>
      </c>
      <c r="K67" s="3" t="s">
        <v>157</v>
      </c>
    </row>
    <row r="68" spans="1:14" ht="33.75" x14ac:dyDescent="0.25">
      <c r="A68" s="56">
        <v>64</v>
      </c>
      <c r="B68" s="170" t="s">
        <v>990</v>
      </c>
      <c r="C68" s="6" t="s">
        <v>708</v>
      </c>
      <c r="D68" s="139">
        <v>500</v>
      </c>
      <c r="E68" s="8" t="s">
        <v>11</v>
      </c>
      <c r="F68" s="149">
        <v>320</v>
      </c>
      <c r="G68" s="169">
        <f t="shared" si="1"/>
        <v>160000</v>
      </c>
      <c r="H68" s="3" t="s">
        <v>535</v>
      </c>
      <c r="I68" s="6" t="s">
        <v>120</v>
      </c>
      <c r="J68" s="3" t="s">
        <v>40</v>
      </c>
      <c r="K68" s="3"/>
    </row>
    <row r="69" spans="1:14" ht="33.75" x14ac:dyDescent="0.25">
      <c r="A69" s="56">
        <v>65</v>
      </c>
      <c r="B69" s="170" t="s">
        <v>991</v>
      </c>
      <c r="C69" s="6" t="s">
        <v>708</v>
      </c>
      <c r="D69" s="139">
        <v>3</v>
      </c>
      <c r="E69" s="8">
        <v>30</v>
      </c>
      <c r="F69" s="149">
        <v>18097</v>
      </c>
      <c r="G69" s="169">
        <f t="shared" si="1"/>
        <v>54291</v>
      </c>
      <c r="H69" s="3" t="s">
        <v>535</v>
      </c>
      <c r="I69" s="6" t="s">
        <v>120</v>
      </c>
      <c r="J69" s="3" t="s">
        <v>40</v>
      </c>
      <c r="K69" s="3" t="s">
        <v>158</v>
      </c>
    </row>
    <row r="70" spans="1:14" ht="33.75" x14ac:dyDescent="0.25">
      <c r="A70" s="56">
        <v>66</v>
      </c>
      <c r="B70" s="170" t="s">
        <v>992</v>
      </c>
      <c r="C70" s="6" t="s">
        <v>708</v>
      </c>
      <c r="D70" s="139">
        <v>8</v>
      </c>
      <c r="E70" s="8" t="s">
        <v>11</v>
      </c>
      <c r="F70" s="149">
        <v>45000</v>
      </c>
      <c r="G70" s="169">
        <f t="shared" si="1"/>
        <v>360000</v>
      </c>
      <c r="H70" s="3" t="s">
        <v>535</v>
      </c>
      <c r="I70" s="6" t="s">
        <v>120</v>
      </c>
      <c r="J70" s="3" t="s">
        <v>40</v>
      </c>
      <c r="K70" s="3" t="s">
        <v>159</v>
      </c>
    </row>
    <row r="71" spans="1:14" ht="33.75" x14ac:dyDescent="0.25">
      <c r="A71" s="56">
        <v>67</v>
      </c>
      <c r="B71" s="170" t="s">
        <v>993</v>
      </c>
      <c r="C71" s="6" t="s">
        <v>708</v>
      </c>
      <c r="D71" s="139">
        <v>32</v>
      </c>
      <c r="E71" s="8" t="s">
        <v>11</v>
      </c>
      <c r="F71" s="149">
        <v>11500</v>
      </c>
      <c r="G71" s="169">
        <f t="shared" si="1"/>
        <v>368000</v>
      </c>
      <c r="H71" s="3" t="s">
        <v>535</v>
      </c>
      <c r="I71" s="6" t="s">
        <v>120</v>
      </c>
      <c r="J71" s="3" t="s">
        <v>40</v>
      </c>
      <c r="K71" s="3" t="s">
        <v>160</v>
      </c>
    </row>
    <row r="72" spans="1:14" ht="33.75" x14ac:dyDescent="0.25">
      <c r="A72" s="56">
        <v>68</v>
      </c>
      <c r="B72" s="170" t="s">
        <v>994</v>
      </c>
      <c r="C72" s="6" t="s">
        <v>708</v>
      </c>
      <c r="D72" s="139">
        <v>500</v>
      </c>
      <c r="E72" s="8" t="s">
        <v>11</v>
      </c>
      <c r="F72" s="149">
        <v>405</v>
      </c>
      <c r="G72" s="169">
        <f t="shared" si="1"/>
        <v>202500</v>
      </c>
      <c r="H72" s="3" t="s">
        <v>535</v>
      </c>
      <c r="I72" s="6" t="s">
        <v>120</v>
      </c>
      <c r="J72" s="3" t="s">
        <v>40</v>
      </c>
      <c r="K72" s="3" t="s">
        <v>915</v>
      </c>
    </row>
    <row r="73" spans="1:14" ht="33.75" x14ac:dyDescent="0.25">
      <c r="A73" s="135">
        <v>69</v>
      </c>
      <c r="B73" s="21" t="s">
        <v>151</v>
      </c>
      <c r="C73" s="6" t="s">
        <v>708</v>
      </c>
      <c r="D73" s="8">
        <v>6</v>
      </c>
      <c r="E73" s="8" t="s">
        <v>11</v>
      </c>
      <c r="F73" s="18">
        <v>2902</v>
      </c>
      <c r="G73" s="169">
        <f t="shared" si="1"/>
        <v>17412</v>
      </c>
      <c r="H73" s="3" t="s">
        <v>535</v>
      </c>
      <c r="I73" s="6" t="s">
        <v>120</v>
      </c>
      <c r="J73" s="3" t="s">
        <v>40</v>
      </c>
      <c r="K73" s="3" t="s">
        <v>916</v>
      </c>
      <c r="N73" t="s">
        <v>12</v>
      </c>
    </row>
    <row r="74" spans="1:14" x14ac:dyDescent="0.25">
      <c r="A74" s="66"/>
      <c r="B74" s="11"/>
      <c r="C74" s="6"/>
      <c r="D74" s="8"/>
      <c r="E74" s="8"/>
      <c r="F74" s="18"/>
      <c r="G74" s="18">
        <f>SUM(G5:G73)</f>
        <v>84000000</v>
      </c>
      <c r="H74" s="3"/>
      <c r="I74" s="6"/>
      <c r="J74" s="3"/>
      <c r="K74" s="3"/>
    </row>
    <row r="76" spans="1:14" x14ac:dyDescent="0.25">
      <c r="I76" t="s">
        <v>12</v>
      </c>
    </row>
    <row r="77" spans="1:14" x14ac:dyDescent="0.25">
      <c r="I77" t="s">
        <v>12</v>
      </c>
    </row>
  </sheetData>
  <mergeCells count="3">
    <mergeCell ref="A2:K2"/>
    <mergeCell ref="A3:D3"/>
    <mergeCell ref="I3:K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5"/>
  <sheetViews>
    <sheetView topLeftCell="A19" workbookViewId="0">
      <selection activeCell="L7" sqref="L7"/>
    </sheetView>
  </sheetViews>
  <sheetFormatPr baseColWidth="10" defaultRowHeight="15" x14ac:dyDescent="0.25"/>
  <cols>
    <col min="1" max="1" width="4.85546875" customWidth="1"/>
    <col min="2" max="2" width="24.7109375" customWidth="1"/>
    <col min="3" max="3" width="25.28515625" customWidth="1"/>
    <col min="4" max="4" width="7.140625" customWidth="1"/>
    <col min="5" max="5" width="6.5703125" customWidth="1"/>
    <col min="6" max="6" width="12.5703125" bestFit="1" customWidth="1"/>
    <col min="9" max="9" width="9.42578125" customWidth="1"/>
    <col min="11" max="11" width="20" customWidth="1"/>
  </cols>
  <sheetData>
    <row r="2" spans="1:15" ht="15.75" x14ac:dyDescent="0.25">
      <c r="A2" s="187" t="s">
        <v>729</v>
      </c>
      <c r="B2" s="189"/>
      <c r="C2" s="189"/>
      <c r="D2" s="189"/>
      <c r="E2" s="189"/>
      <c r="F2" s="189"/>
      <c r="G2" s="189"/>
      <c r="H2" s="189"/>
      <c r="I2" s="189"/>
      <c r="J2" s="189"/>
      <c r="K2" s="215"/>
    </row>
    <row r="3" spans="1:15" ht="15.75" x14ac:dyDescent="0.25">
      <c r="A3" s="99" t="s">
        <v>631</v>
      </c>
      <c r="B3" s="100"/>
      <c r="C3" s="100"/>
      <c r="D3" s="63"/>
      <c r="E3" s="63"/>
      <c r="F3" s="63"/>
      <c r="G3" s="63"/>
      <c r="H3" s="63"/>
      <c r="I3" s="228" t="s">
        <v>1080</v>
      </c>
      <c r="J3" s="228"/>
      <c r="K3" s="229"/>
    </row>
    <row r="4" spans="1:15" ht="33.75" x14ac:dyDescent="0.25">
      <c r="A4" s="152" t="s">
        <v>0</v>
      </c>
      <c r="B4" s="153" t="s">
        <v>1</v>
      </c>
      <c r="C4" s="153" t="s">
        <v>2</v>
      </c>
      <c r="D4" s="153" t="s">
        <v>3</v>
      </c>
      <c r="E4" s="153" t="s">
        <v>4</v>
      </c>
      <c r="F4" s="153" t="s">
        <v>5</v>
      </c>
      <c r="G4" s="153" t="s">
        <v>1102</v>
      </c>
      <c r="H4" s="153" t="s">
        <v>6</v>
      </c>
      <c r="I4" s="153" t="s">
        <v>7</v>
      </c>
      <c r="J4" s="159" t="s">
        <v>8</v>
      </c>
      <c r="K4" s="159" t="s">
        <v>10</v>
      </c>
    </row>
    <row r="5" spans="1:15" ht="22.5" x14ac:dyDescent="0.25">
      <c r="A5" s="139">
        <v>1</v>
      </c>
      <c r="B5" s="138" t="s">
        <v>995</v>
      </c>
      <c r="C5" s="3" t="s">
        <v>708</v>
      </c>
      <c r="D5" s="137">
        <v>7</v>
      </c>
      <c r="E5" s="15" t="s">
        <v>11</v>
      </c>
      <c r="F5" s="141">
        <v>247000</v>
      </c>
      <c r="G5" s="23">
        <f>D5*F5</f>
        <v>1729000</v>
      </c>
      <c r="H5" s="15" t="s">
        <v>632</v>
      </c>
      <c r="I5" s="8" t="s">
        <v>39</v>
      </c>
      <c r="J5" s="15" t="s">
        <v>40</v>
      </c>
      <c r="K5" s="3" t="s">
        <v>534</v>
      </c>
      <c r="L5" s="27" t="s">
        <v>12</v>
      </c>
      <c r="M5" s="27" t="s">
        <v>12</v>
      </c>
    </row>
    <row r="6" spans="1:15" ht="22.5" x14ac:dyDescent="0.25">
      <c r="A6" s="139">
        <v>2</v>
      </c>
      <c r="B6" s="138" t="s">
        <v>996</v>
      </c>
      <c r="C6" s="3" t="s">
        <v>708</v>
      </c>
      <c r="D6" s="137">
        <v>7</v>
      </c>
      <c r="E6" s="15" t="s">
        <v>11</v>
      </c>
      <c r="F6" s="141">
        <v>185000</v>
      </c>
      <c r="G6" s="23">
        <f t="shared" ref="G6:G69" si="0">D6*F6</f>
        <v>1295000</v>
      </c>
      <c r="H6" s="15" t="s">
        <v>632</v>
      </c>
      <c r="I6" s="8" t="s">
        <v>39</v>
      </c>
      <c r="J6" s="15" t="s">
        <v>40</v>
      </c>
      <c r="K6" s="3" t="s">
        <v>534</v>
      </c>
      <c r="L6" s="27" t="s">
        <v>12</v>
      </c>
    </row>
    <row r="7" spans="1:15" ht="22.5" x14ac:dyDescent="0.25">
      <c r="A7" s="139">
        <v>3</v>
      </c>
      <c r="B7" s="138" t="s">
        <v>997</v>
      </c>
      <c r="C7" s="3" t="s">
        <v>708</v>
      </c>
      <c r="D7" s="137">
        <v>7</v>
      </c>
      <c r="E7" s="15" t="s">
        <v>11</v>
      </c>
      <c r="F7" s="141">
        <v>228000</v>
      </c>
      <c r="G7" s="23">
        <f t="shared" si="0"/>
        <v>1596000</v>
      </c>
      <c r="H7" s="15" t="s">
        <v>632</v>
      </c>
      <c r="I7" s="8" t="s">
        <v>39</v>
      </c>
      <c r="J7" s="15" t="s">
        <v>40</v>
      </c>
      <c r="K7" s="3" t="s">
        <v>534</v>
      </c>
      <c r="L7" s="27" t="s">
        <v>12</v>
      </c>
    </row>
    <row r="8" spans="1:15" ht="22.5" x14ac:dyDescent="0.25">
      <c r="A8" s="139">
        <v>4</v>
      </c>
      <c r="B8" s="138" t="s">
        <v>998</v>
      </c>
      <c r="C8" s="3" t="s">
        <v>708</v>
      </c>
      <c r="D8" s="137">
        <v>7</v>
      </c>
      <c r="E8" s="15" t="s">
        <v>11</v>
      </c>
      <c r="F8" s="141">
        <v>200000</v>
      </c>
      <c r="G8" s="23">
        <f t="shared" si="0"/>
        <v>1400000</v>
      </c>
      <c r="H8" s="15" t="s">
        <v>632</v>
      </c>
      <c r="I8" s="8" t="s">
        <v>39</v>
      </c>
      <c r="J8" s="15" t="s">
        <v>40</v>
      </c>
      <c r="K8" s="3" t="s">
        <v>534</v>
      </c>
    </row>
    <row r="9" spans="1:15" ht="22.5" x14ac:dyDescent="0.25">
      <c r="A9" s="139">
        <v>5</v>
      </c>
      <c r="B9" s="138" t="s">
        <v>999</v>
      </c>
      <c r="C9" s="3" t="s">
        <v>708</v>
      </c>
      <c r="D9" s="137">
        <v>7</v>
      </c>
      <c r="E9" s="15" t="s">
        <v>11</v>
      </c>
      <c r="F9" s="142">
        <v>0</v>
      </c>
      <c r="G9" s="23">
        <f t="shared" si="0"/>
        <v>0</v>
      </c>
      <c r="H9" s="15" t="s">
        <v>632</v>
      </c>
      <c r="I9" s="8" t="s">
        <v>39</v>
      </c>
      <c r="J9" s="15" t="s">
        <v>40</v>
      </c>
      <c r="K9" s="3" t="s">
        <v>534</v>
      </c>
    </row>
    <row r="10" spans="1:15" ht="22.5" x14ac:dyDescent="0.25">
      <c r="A10" s="139">
        <v>6</v>
      </c>
      <c r="B10" s="138" t="s">
        <v>1000</v>
      </c>
      <c r="C10" s="3" t="s">
        <v>708</v>
      </c>
      <c r="D10" s="137">
        <v>7</v>
      </c>
      <c r="E10" s="14" t="s">
        <v>11</v>
      </c>
      <c r="F10" s="141">
        <v>309000</v>
      </c>
      <c r="G10" s="23">
        <f t="shared" si="0"/>
        <v>2163000</v>
      </c>
      <c r="H10" s="15" t="s">
        <v>632</v>
      </c>
      <c r="I10" s="8" t="s">
        <v>39</v>
      </c>
      <c r="J10" s="15" t="s">
        <v>40</v>
      </c>
      <c r="K10" s="3" t="s">
        <v>534</v>
      </c>
    </row>
    <row r="11" spans="1:15" ht="22.5" x14ac:dyDescent="0.25">
      <c r="A11" s="139">
        <v>7</v>
      </c>
      <c r="B11" s="138" t="s">
        <v>1001</v>
      </c>
      <c r="C11" s="3" t="s">
        <v>708</v>
      </c>
      <c r="D11" s="137">
        <v>7</v>
      </c>
      <c r="E11" s="15" t="s">
        <v>11</v>
      </c>
      <c r="F11" s="141">
        <v>145000</v>
      </c>
      <c r="G11" s="23">
        <f t="shared" si="0"/>
        <v>1015000</v>
      </c>
      <c r="H11" s="15" t="s">
        <v>632</v>
      </c>
      <c r="I11" s="8" t="s">
        <v>39</v>
      </c>
      <c r="J11" s="15" t="s">
        <v>40</v>
      </c>
      <c r="K11" s="3" t="s">
        <v>534</v>
      </c>
    </row>
    <row r="12" spans="1:15" ht="22.5" x14ac:dyDescent="0.25">
      <c r="A12" s="139">
        <v>9</v>
      </c>
      <c r="B12" s="138" t="s">
        <v>1002</v>
      </c>
      <c r="C12" s="3" t="s">
        <v>708</v>
      </c>
      <c r="D12" s="137">
        <v>7</v>
      </c>
      <c r="E12" s="15" t="s">
        <v>11</v>
      </c>
      <c r="F12" s="141">
        <v>190000</v>
      </c>
      <c r="G12" s="23">
        <f t="shared" si="0"/>
        <v>1330000</v>
      </c>
      <c r="H12" s="15" t="s">
        <v>632</v>
      </c>
      <c r="I12" s="8" t="s">
        <v>39</v>
      </c>
      <c r="J12" s="15" t="s">
        <v>40</v>
      </c>
      <c r="K12" s="3" t="s">
        <v>534</v>
      </c>
      <c r="O12" t="s">
        <v>12</v>
      </c>
    </row>
    <row r="13" spans="1:15" ht="22.5" x14ac:dyDescent="0.25">
      <c r="A13" s="139">
        <v>11</v>
      </c>
      <c r="B13" s="138" t="s">
        <v>1003</v>
      </c>
      <c r="C13" s="3" t="s">
        <v>708</v>
      </c>
      <c r="D13" s="137">
        <v>7</v>
      </c>
      <c r="E13" s="15" t="s">
        <v>11</v>
      </c>
      <c r="F13" s="142"/>
      <c r="G13" s="23">
        <f t="shared" si="0"/>
        <v>0</v>
      </c>
      <c r="H13" s="15" t="s">
        <v>632</v>
      </c>
      <c r="I13" s="8" t="s">
        <v>39</v>
      </c>
      <c r="J13" s="15" t="s">
        <v>40</v>
      </c>
      <c r="K13" s="3" t="s">
        <v>534</v>
      </c>
    </row>
    <row r="14" spans="1:15" ht="22.5" x14ac:dyDescent="0.25">
      <c r="A14" s="139">
        <v>12</v>
      </c>
      <c r="B14" s="138" t="s">
        <v>1004</v>
      </c>
      <c r="C14" s="3" t="s">
        <v>708</v>
      </c>
      <c r="D14" s="137">
        <v>7</v>
      </c>
      <c r="E14" s="15" t="s">
        <v>11</v>
      </c>
      <c r="F14" s="141">
        <v>325000</v>
      </c>
      <c r="G14" s="23">
        <f t="shared" si="0"/>
        <v>2275000</v>
      </c>
      <c r="H14" s="15" t="s">
        <v>632</v>
      </c>
      <c r="I14" s="8" t="s">
        <v>39</v>
      </c>
      <c r="J14" s="15" t="s">
        <v>40</v>
      </c>
      <c r="K14" s="3" t="s">
        <v>534</v>
      </c>
    </row>
    <row r="15" spans="1:15" ht="22.5" x14ac:dyDescent="0.25">
      <c r="A15" s="139">
        <v>13</v>
      </c>
      <c r="B15" s="138" t="s">
        <v>121</v>
      </c>
      <c r="C15" s="3" t="s">
        <v>708</v>
      </c>
      <c r="D15" s="137">
        <v>5</v>
      </c>
      <c r="E15" s="15" t="s">
        <v>11</v>
      </c>
      <c r="F15" s="141">
        <f>618300-71</f>
        <v>618229</v>
      </c>
      <c r="G15" s="23">
        <f t="shared" si="0"/>
        <v>3091145</v>
      </c>
      <c r="H15" s="15" t="s">
        <v>632</v>
      </c>
      <c r="I15" s="8" t="s">
        <v>39</v>
      </c>
      <c r="J15" s="15" t="s">
        <v>40</v>
      </c>
      <c r="K15" s="3" t="s">
        <v>534</v>
      </c>
    </row>
    <row r="16" spans="1:15" ht="22.5" x14ac:dyDescent="0.25">
      <c r="A16" s="139">
        <v>14</v>
      </c>
      <c r="B16" s="138" t="s">
        <v>1005</v>
      </c>
      <c r="C16" s="3" t="s">
        <v>708</v>
      </c>
      <c r="D16" s="137">
        <v>5</v>
      </c>
      <c r="E16" s="15" t="s">
        <v>11</v>
      </c>
      <c r="F16" s="141">
        <v>382000</v>
      </c>
      <c r="G16" s="23">
        <f t="shared" si="0"/>
        <v>1910000</v>
      </c>
      <c r="H16" s="15" t="s">
        <v>632</v>
      </c>
      <c r="I16" s="8" t="s">
        <v>39</v>
      </c>
      <c r="J16" s="15" t="s">
        <v>40</v>
      </c>
      <c r="K16" s="3" t="s">
        <v>534</v>
      </c>
      <c r="M16">
        <f>355/5</f>
        <v>71</v>
      </c>
    </row>
    <row r="17" spans="1:11" ht="22.5" x14ac:dyDescent="0.25">
      <c r="A17" s="139">
        <v>15</v>
      </c>
      <c r="B17" s="138" t="s">
        <v>122</v>
      </c>
      <c r="C17" s="3" t="s">
        <v>708</v>
      </c>
      <c r="D17" s="137">
        <v>6</v>
      </c>
      <c r="E17" s="15" t="s">
        <v>11</v>
      </c>
      <c r="F17" s="141">
        <v>299700</v>
      </c>
      <c r="G17" s="23">
        <f t="shared" si="0"/>
        <v>1798200</v>
      </c>
      <c r="H17" s="15" t="s">
        <v>632</v>
      </c>
      <c r="I17" s="8" t="s">
        <v>39</v>
      </c>
      <c r="J17" s="15" t="s">
        <v>40</v>
      </c>
      <c r="K17" s="3" t="s">
        <v>534</v>
      </c>
    </row>
    <row r="18" spans="1:11" ht="22.5" x14ac:dyDescent="0.25">
      <c r="A18" s="139">
        <v>16</v>
      </c>
      <c r="B18" s="138" t="s">
        <v>1006</v>
      </c>
      <c r="C18" s="3" t="s">
        <v>708</v>
      </c>
      <c r="D18" s="137">
        <v>5</v>
      </c>
      <c r="E18" s="15" t="s">
        <v>11</v>
      </c>
      <c r="F18" s="141">
        <v>756000</v>
      </c>
      <c r="G18" s="23">
        <f t="shared" si="0"/>
        <v>3780000</v>
      </c>
      <c r="H18" s="15" t="s">
        <v>632</v>
      </c>
      <c r="I18" s="8" t="s">
        <v>39</v>
      </c>
      <c r="J18" s="15" t="s">
        <v>40</v>
      </c>
      <c r="K18" s="3" t="s">
        <v>534</v>
      </c>
    </row>
    <row r="19" spans="1:11" ht="22.5" x14ac:dyDescent="0.25">
      <c r="A19" s="139">
        <v>17</v>
      </c>
      <c r="B19" s="138" t="s">
        <v>123</v>
      </c>
      <c r="C19" s="3" t="s">
        <v>708</v>
      </c>
      <c r="D19" s="137">
        <v>5</v>
      </c>
      <c r="E19" s="15" t="s">
        <v>11</v>
      </c>
      <c r="F19" s="141">
        <v>391500</v>
      </c>
      <c r="G19" s="23">
        <f t="shared" si="0"/>
        <v>1957500</v>
      </c>
      <c r="H19" s="15" t="s">
        <v>632</v>
      </c>
      <c r="I19" s="8" t="s">
        <v>39</v>
      </c>
      <c r="J19" s="15" t="s">
        <v>40</v>
      </c>
      <c r="K19" s="3" t="s">
        <v>534</v>
      </c>
    </row>
    <row r="20" spans="1:11" ht="22.5" x14ac:dyDescent="0.25">
      <c r="A20" s="139">
        <v>18</v>
      </c>
      <c r="B20" s="138" t="s">
        <v>124</v>
      </c>
      <c r="C20" s="3" t="s">
        <v>708</v>
      </c>
      <c r="D20" s="137">
        <v>5</v>
      </c>
      <c r="E20" s="15" t="s">
        <v>11</v>
      </c>
      <c r="F20" s="141">
        <v>263250</v>
      </c>
      <c r="G20" s="23">
        <f t="shared" si="0"/>
        <v>1316250</v>
      </c>
      <c r="H20" s="15" t="s">
        <v>632</v>
      </c>
      <c r="I20" s="8" t="s">
        <v>39</v>
      </c>
      <c r="J20" s="15" t="s">
        <v>40</v>
      </c>
      <c r="K20" s="3" t="s">
        <v>534</v>
      </c>
    </row>
    <row r="21" spans="1:11" ht="22.5" x14ac:dyDescent="0.25">
      <c r="A21" s="139">
        <v>19</v>
      </c>
      <c r="B21" s="138" t="s">
        <v>1007</v>
      </c>
      <c r="C21" s="3" t="s">
        <v>708</v>
      </c>
      <c r="D21" s="137">
        <v>5</v>
      </c>
      <c r="E21" s="15" t="s">
        <v>11</v>
      </c>
      <c r="F21" s="141">
        <v>278000</v>
      </c>
      <c r="G21" s="23">
        <f t="shared" si="0"/>
        <v>1390000</v>
      </c>
      <c r="H21" s="15" t="s">
        <v>632</v>
      </c>
      <c r="I21" s="8" t="s">
        <v>39</v>
      </c>
      <c r="J21" s="15" t="s">
        <v>40</v>
      </c>
      <c r="K21" s="3" t="s">
        <v>534</v>
      </c>
    </row>
    <row r="22" spans="1:11" ht="22.5" x14ac:dyDescent="0.25">
      <c r="A22" s="139">
        <v>20</v>
      </c>
      <c r="B22" s="138" t="s">
        <v>1008</v>
      </c>
      <c r="C22" s="3" t="s">
        <v>708</v>
      </c>
      <c r="D22" s="137">
        <v>6</v>
      </c>
      <c r="E22" s="15" t="s">
        <v>11</v>
      </c>
      <c r="F22" s="141">
        <v>620000</v>
      </c>
      <c r="G22" s="23">
        <f t="shared" si="0"/>
        <v>3720000</v>
      </c>
      <c r="H22" s="15" t="s">
        <v>632</v>
      </c>
      <c r="I22" s="8" t="s">
        <v>39</v>
      </c>
      <c r="J22" s="15" t="s">
        <v>40</v>
      </c>
      <c r="K22" s="6" t="s">
        <v>534</v>
      </c>
    </row>
    <row r="23" spans="1:11" ht="22.5" x14ac:dyDescent="0.25">
      <c r="A23" s="139">
        <v>21</v>
      </c>
      <c r="B23" s="138" t="s">
        <v>1009</v>
      </c>
      <c r="C23" s="3" t="s">
        <v>708</v>
      </c>
      <c r="D23" s="137">
        <v>5</v>
      </c>
      <c r="E23" s="15" t="s">
        <v>11</v>
      </c>
      <c r="F23" s="141">
        <v>654750</v>
      </c>
      <c r="G23" s="23">
        <f t="shared" si="0"/>
        <v>3273750</v>
      </c>
      <c r="H23" s="15" t="s">
        <v>632</v>
      </c>
      <c r="I23" s="8" t="s">
        <v>39</v>
      </c>
      <c r="J23" s="15" t="s">
        <v>40</v>
      </c>
      <c r="K23" s="3" t="s">
        <v>534</v>
      </c>
    </row>
    <row r="24" spans="1:11" ht="22.5" x14ac:dyDescent="0.25">
      <c r="A24" s="139">
        <v>22</v>
      </c>
      <c r="B24" s="138" t="s">
        <v>1010</v>
      </c>
      <c r="C24" s="3" t="s">
        <v>708</v>
      </c>
      <c r="D24" s="137">
        <v>6</v>
      </c>
      <c r="E24" s="15" t="s">
        <v>11</v>
      </c>
      <c r="F24" s="141">
        <v>303750</v>
      </c>
      <c r="G24" s="23">
        <f t="shared" si="0"/>
        <v>1822500</v>
      </c>
      <c r="H24" s="15" t="s">
        <v>632</v>
      </c>
      <c r="I24" s="8" t="s">
        <v>39</v>
      </c>
      <c r="J24" s="15" t="s">
        <v>40</v>
      </c>
      <c r="K24" s="3" t="s">
        <v>534</v>
      </c>
    </row>
    <row r="25" spans="1:11" ht="22.5" x14ac:dyDescent="0.25">
      <c r="A25" s="139">
        <v>23</v>
      </c>
      <c r="B25" s="138" t="s">
        <v>1011</v>
      </c>
      <c r="C25" s="3" t="s">
        <v>708</v>
      </c>
      <c r="D25" s="137">
        <v>5</v>
      </c>
      <c r="E25" s="15" t="s">
        <v>11</v>
      </c>
      <c r="F25" s="141">
        <v>376000</v>
      </c>
      <c r="G25" s="23">
        <f t="shared" si="0"/>
        <v>1880000</v>
      </c>
      <c r="H25" s="15" t="s">
        <v>632</v>
      </c>
      <c r="I25" s="8" t="s">
        <v>39</v>
      </c>
      <c r="J25" s="15" t="s">
        <v>40</v>
      </c>
      <c r="K25" s="3" t="s">
        <v>534</v>
      </c>
    </row>
    <row r="26" spans="1:11" ht="22.5" x14ac:dyDescent="0.25">
      <c r="A26" s="139">
        <v>24</v>
      </c>
      <c r="B26" s="138" t="s">
        <v>1012</v>
      </c>
      <c r="C26" s="3" t="s">
        <v>708</v>
      </c>
      <c r="D26" s="137">
        <v>5</v>
      </c>
      <c r="E26" s="15" t="s">
        <v>11</v>
      </c>
      <c r="F26" s="141">
        <v>650000</v>
      </c>
      <c r="G26" s="23">
        <f t="shared" si="0"/>
        <v>3250000</v>
      </c>
      <c r="H26" s="15" t="s">
        <v>632</v>
      </c>
      <c r="I26" s="8" t="s">
        <v>39</v>
      </c>
      <c r="J26" s="15" t="s">
        <v>40</v>
      </c>
      <c r="K26" s="3" t="s">
        <v>534</v>
      </c>
    </row>
    <row r="27" spans="1:11" ht="22.5" x14ac:dyDescent="0.25">
      <c r="A27" s="139">
        <v>25</v>
      </c>
      <c r="B27" s="138" t="s">
        <v>125</v>
      </c>
      <c r="C27" s="3" t="s">
        <v>708</v>
      </c>
      <c r="D27" s="137">
        <v>5</v>
      </c>
      <c r="E27" s="15" t="s">
        <v>11</v>
      </c>
      <c r="F27" s="141">
        <v>270000</v>
      </c>
      <c r="G27" s="23">
        <f t="shared" si="0"/>
        <v>1350000</v>
      </c>
      <c r="H27" s="15" t="s">
        <v>632</v>
      </c>
      <c r="I27" s="8" t="s">
        <v>39</v>
      </c>
      <c r="J27" s="15" t="s">
        <v>40</v>
      </c>
      <c r="K27" s="3" t="s">
        <v>534</v>
      </c>
    </row>
    <row r="28" spans="1:11" ht="22.5" x14ac:dyDescent="0.25">
      <c r="A28" s="139">
        <v>26</v>
      </c>
      <c r="B28" s="138" t="s">
        <v>126</v>
      </c>
      <c r="C28" s="3" t="s">
        <v>708</v>
      </c>
      <c r="D28" s="137">
        <v>5</v>
      </c>
      <c r="E28" s="15" t="s">
        <v>11</v>
      </c>
      <c r="F28" s="141">
        <v>668250</v>
      </c>
      <c r="G28" s="23">
        <f t="shared" si="0"/>
        <v>3341250</v>
      </c>
      <c r="H28" s="15" t="s">
        <v>632</v>
      </c>
      <c r="I28" s="8" t="s">
        <v>39</v>
      </c>
      <c r="J28" s="15" t="s">
        <v>40</v>
      </c>
      <c r="K28" s="3" t="s">
        <v>534</v>
      </c>
    </row>
    <row r="29" spans="1:11" ht="22.5" x14ac:dyDescent="0.25">
      <c r="A29" s="139">
        <v>27</v>
      </c>
      <c r="B29" s="138" t="s">
        <v>1013</v>
      </c>
      <c r="C29" s="3" t="s">
        <v>708</v>
      </c>
      <c r="D29" s="137">
        <v>8</v>
      </c>
      <c r="E29" s="15" t="s">
        <v>11</v>
      </c>
      <c r="F29" s="143">
        <v>8400</v>
      </c>
      <c r="G29" s="23">
        <f t="shared" si="0"/>
        <v>67200</v>
      </c>
      <c r="H29" s="15" t="s">
        <v>632</v>
      </c>
      <c r="I29" s="8" t="s">
        <v>39</v>
      </c>
      <c r="J29" s="15" t="s">
        <v>40</v>
      </c>
      <c r="K29" s="3" t="s">
        <v>534</v>
      </c>
    </row>
    <row r="30" spans="1:11" ht="22.5" x14ac:dyDescent="0.25">
      <c r="A30" s="139">
        <v>28</v>
      </c>
      <c r="B30" s="138" t="s">
        <v>1014</v>
      </c>
      <c r="C30" s="3" t="s">
        <v>708</v>
      </c>
      <c r="D30" s="137">
        <v>5</v>
      </c>
      <c r="E30" s="15" t="s">
        <v>11</v>
      </c>
      <c r="F30" s="144"/>
      <c r="G30" s="23">
        <f t="shared" si="0"/>
        <v>0</v>
      </c>
      <c r="H30" s="15" t="s">
        <v>632</v>
      </c>
      <c r="I30" s="8" t="s">
        <v>39</v>
      </c>
      <c r="J30" s="15" t="s">
        <v>40</v>
      </c>
      <c r="K30" s="3" t="s">
        <v>534</v>
      </c>
    </row>
    <row r="31" spans="1:11" ht="22.5" x14ac:dyDescent="0.25">
      <c r="A31" s="139">
        <v>29</v>
      </c>
      <c r="B31" s="138" t="s">
        <v>1015</v>
      </c>
      <c r="C31" s="3" t="s">
        <v>708</v>
      </c>
      <c r="D31" s="137">
        <v>5</v>
      </c>
      <c r="E31" s="15" t="s">
        <v>11</v>
      </c>
      <c r="F31" s="145">
        <v>9450</v>
      </c>
      <c r="G31" s="23">
        <f t="shared" si="0"/>
        <v>47250</v>
      </c>
      <c r="H31" s="15" t="s">
        <v>632</v>
      </c>
      <c r="I31" s="8" t="s">
        <v>39</v>
      </c>
      <c r="J31" s="15" t="s">
        <v>40</v>
      </c>
      <c r="K31" s="3" t="s">
        <v>534</v>
      </c>
    </row>
    <row r="32" spans="1:11" ht="22.5" x14ac:dyDescent="0.25">
      <c r="A32" s="139">
        <v>30</v>
      </c>
      <c r="B32" s="138" t="s">
        <v>1016</v>
      </c>
      <c r="C32" s="3" t="s">
        <v>708</v>
      </c>
      <c r="D32" s="137">
        <v>5</v>
      </c>
      <c r="E32" s="15" t="s">
        <v>11</v>
      </c>
      <c r="F32" s="145">
        <v>9450</v>
      </c>
      <c r="G32" s="23">
        <f t="shared" si="0"/>
        <v>47250</v>
      </c>
      <c r="H32" s="15" t="s">
        <v>632</v>
      </c>
      <c r="I32" s="8" t="s">
        <v>39</v>
      </c>
      <c r="J32" s="15" t="s">
        <v>40</v>
      </c>
      <c r="K32" s="3" t="s">
        <v>534</v>
      </c>
    </row>
    <row r="33" spans="1:11" ht="22.5" x14ac:dyDescent="0.25">
      <c r="A33" s="139">
        <v>31</v>
      </c>
      <c r="B33" s="138" t="s">
        <v>1017</v>
      </c>
      <c r="C33" s="3" t="s">
        <v>708</v>
      </c>
      <c r="D33" s="137">
        <v>5</v>
      </c>
      <c r="E33" s="15" t="s">
        <v>11</v>
      </c>
      <c r="F33" s="145">
        <v>23500</v>
      </c>
      <c r="G33" s="23">
        <f t="shared" si="0"/>
        <v>117500</v>
      </c>
      <c r="H33" s="15" t="s">
        <v>632</v>
      </c>
      <c r="I33" s="8" t="s">
        <v>39</v>
      </c>
      <c r="J33" s="15" t="s">
        <v>40</v>
      </c>
      <c r="K33" s="3" t="s">
        <v>534</v>
      </c>
    </row>
    <row r="34" spans="1:11" ht="22.5" x14ac:dyDescent="0.25">
      <c r="A34" s="139">
        <v>32</v>
      </c>
      <c r="B34" s="138" t="s">
        <v>1018</v>
      </c>
      <c r="C34" s="3" t="s">
        <v>708</v>
      </c>
      <c r="D34" s="137">
        <v>5</v>
      </c>
      <c r="E34" s="15" t="s">
        <v>11</v>
      </c>
      <c r="F34" s="145">
        <v>14000</v>
      </c>
      <c r="G34" s="23">
        <f t="shared" si="0"/>
        <v>70000</v>
      </c>
      <c r="H34" s="15" t="s">
        <v>632</v>
      </c>
      <c r="I34" s="8" t="s">
        <v>39</v>
      </c>
      <c r="J34" s="15" t="s">
        <v>40</v>
      </c>
      <c r="K34" s="3" t="s">
        <v>534</v>
      </c>
    </row>
    <row r="35" spans="1:11" ht="22.5" x14ac:dyDescent="0.25">
      <c r="A35" s="139">
        <v>33</v>
      </c>
      <c r="B35" s="138" t="s">
        <v>1019</v>
      </c>
      <c r="C35" s="3" t="s">
        <v>708</v>
      </c>
      <c r="D35" s="137">
        <v>5</v>
      </c>
      <c r="E35" s="3" t="s">
        <v>127</v>
      </c>
      <c r="F35" s="145">
        <v>12500</v>
      </c>
      <c r="G35" s="23">
        <f t="shared" si="0"/>
        <v>62500</v>
      </c>
      <c r="H35" s="15" t="s">
        <v>632</v>
      </c>
      <c r="I35" s="8" t="s">
        <v>39</v>
      </c>
      <c r="J35" s="15" t="s">
        <v>40</v>
      </c>
      <c r="K35" s="3" t="s">
        <v>534</v>
      </c>
    </row>
    <row r="36" spans="1:11" ht="22.5" x14ac:dyDescent="0.25">
      <c r="A36" s="139">
        <v>34</v>
      </c>
      <c r="B36" s="138" t="s">
        <v>1020</v>
      </c>
      <c r="C36" s="3" t="s">
        <v>708</v>
      </c>
      <c r="D36" s="137">
        <v>5</v>
      </c>
      <c r="E36" s="3" t="s">
        <v>127</v>
      </c>
      <c r="F36" s="145">
        <v>22500</v>
      </c>
      <c r="G36" s="23">
        <f t="shared" si="0"/>
        <v>112500</v>
      </c>
      <c r="H36" s="15" t="s">
        <v>632</v>
      </c>
      <c r="I36" s="8" t="s">
        <v>39</v>
      </c>
      <c r="J36" s="15" t="s">
        <v>40</v>
      </c>
      <c r="K36" s="3" t="s">
        <v>534</v>
      </c>
    </row>
    <row r="37" spans="1:11" ht="22.5" x14ac:dyDescent="0.25">
      <c r="A37" s="146">
        <v>35</v>
      </c>
      <c r="B37" s="136" t="s">
        <v>1021</v>
      </c>
      <c r="C37" s="3" t="s">
        <v>708</v>
      </c>
      <c r="D37" s="137">
        <v>10</v>
      </c>
      <c r="E37" s="3" t="s">
        <v>127</v>
      </c>
      <c r="F37" s="145">
        <v>6900</v>
      </c>
      <c r="G37" s="23">
        <f t="shared" si="0"/>
        <v>69000</v>
      </c>
      <c r="H37" s="15" t="s">
        <v>632</v>
      </c>
      <c r="I37" s="8" t="s">
        <v>39</v>
      </c>
      <c r="J37" s="15" t="s">
        <v>40</v>
      </c>
      <c r="K37" s="3" t="s">
        <v>534</v>
      </c>
    </row>
    <row r="38" spans="1:11" ht="22.5" x14ac:dyDescent="0.25">
      <c r="A38" s="146">
        <v>36</v>
      </c>
      <c r="B38" s="136" t="s">
        <v>1022</v>
      </c>
      <c r="C38" s="3" t="s">
        <v>708</v>
      </c>
      <c r="D38" s="137">
        <v>10</v>
      </c>
      <c r="E38" s="14" t="s">
        <v>11</v>
      </c>
      <c r="F38" s="144"/>
      <c r="G38" s="23">
        <f t="shared" si="0"/>
        <v>0</v>
      </c>
      <c r="H38" s="15" t="s">
        <v>632</v>
      </c>
      <c r="I38" s="8" t="s">
        <v>39</v>
      </c>
      <c r="J38" s="15" t="s">
        <v>40</v>
      </c>
      <c r="K38" s="3" t="s">
        <v>534</v>
      </c>
    </row>
    <row r="39" spans="1:11" ht="22.5" x14ac:dyDescent="0.25">
      <c r="A39" s="146">
        <v>37</v>
      </c>
      <c r="B39" s="136" t="s">
        <v>1023</v>
      </c>
      <c r="C39" s="3" t="s">
        <v>708</v>
      </c>
      <c r="D39" s="137">
        <v>10</v>
      </c>
      <c r="E39" s="15" t="s">
        <v>95</v>
      </c>
      <c r="F39" s="145">
        <v>6900</v>
      </c>
      <c r="G39" s="23">
        <f t="shared" si="0"/>
        <v>69000</v>
      </c>
      <c r="H39" s="15" t="s">
        <v>632</v>
      </c>
      <c r="I39" s="8" t="s">
        <v>39</v>
      </c>
      <c r="J39" s="15" t="s">
        <v>40</v>
      </c>
      <c r="K39" s="3" t="s">
        <v>534</v>
      </c>
    </row>
    <row r="40" spans="1:11" ht="22.5" x14ac:dyDescent="0.25">
      <c r="A40" s="146">
        <v>38</v>
      </c>
      <c r="B40" s="136" t="s">
        <v>1024</v>
      </c>
      <c r="C40" s="3" t="s">
        <v>708</v>
      </c>
      <c r="D40" s="137">
        <v>10</v>
      </c>
      <c r="E40" s="15" t="s">
        <v>95</v>
      </c>
      <c r="F40" s="145">
        <v>8500</v>
      </c>
      <c r="G40" s="23">
        <f t="shared" si="0"/>
        <v>85000</v>
      </c>
      <c r="H40" s="15" t="s">
        <v>632</v>
      </c>
      <c r="I40" s="8" t="s">
        <v>39</v>
      </c>
      <c r="J40" s="15" t="s">
        <v>40</v>
      </c>
      <c r="K40" s="3" t="s">
        <v>534</v>
      </c>
    </row>
    <row r="41" spans="1:11" ht="22.5" x14ac:dyDescent="0.25">
      <c r="A41" s="146">
        <v>39</v>
      </c>
      <c r="B41" s="136" t="s">
        <v>1025</v>
      </c>
      <c r="C41" s="3" t="s">
        <v>708</v>
      </c>
      <c r="D41" s="137">
        <v>10</v>
      </c>
      <c r="E41" s="15" t="s">
        <v>95</v>
      </c>
      <c r="F41" s="145">
        <v>6900</v>
      </c>
      <c r="G41" s="23">
        <f t="shared" si="0"/>
        <v>69000</v>
      </c>
      <c r="H41" s="15" t="s">
        <v>632</v>
      </c>
      <c r="I41" s="8" t="s">
        <v>39</v>
      </c>
      <c r="J41" s="15" t="s">
        <v>40</v>
      </c>
      <c r="K41" s="3" t="s">
        <v>534</v>
      </c>
    </row>
    <row r="42" spans="1:11" ht="22.5" x14ac:dyDescent="0.25">
      <c r="A42" s="146">
        <v>40</v>
      </c>
      <c r="B42" s="136" t="s">
        <v>1026</v>
      </c>
      <c r="C42" s="3" t="s">
        <v>708</v>
      </c>
      <c r="D42" s="137">
        <v>10</v>
      </c>
      <c r="E42" s="15" t="s">
        <v>95</v>
      </c>
      <c r="F42" s="145">
        <v>9200</v>
      </c>
      <c r="G42" s="23">
        <f t="shared" si="0"/>
        <v>92000</v>
      </c>
      <c r="H42" s="15" t="s">
        <v>632</v>
      </c>
      <c r="I42" s="8" t="s">
        <v>39</v>
      </c>
      <c r="J42" s="15" t="s">
        <v>40</v>
      </c>
      <c r="K42" s="3" t="s">
        <v>534</v>
      </c>
    </row>
    <row r="43" spans="1:11" ht="22.5" x14ac:dyDescent="0.25">
      <c r="A43" s="146">
        <v>41</v>
      </c>
      <c r="B43" s="136" t="s">
        <v>1027</v>
      </c>
      <c r="C43" s="3" t="s">
        <v>708</v>
      </c>
      <c r="D43" s="137">
        <v>10</v>
      </c>
      <c r="E43" s="3" t="s">
        <v>127</v>
      </c>
      <c r="F43" s="145">
        <v>9200</v>
      </c>
      <c r="G43" s="23">
        <f t="shared" si="0"/>
        <v>92000</v>
      </c>
      <c r="H43" s="15" t="s">
        <v>632</v>
      </c>
      <c r="I43" s="8" t="s">
        <v>39</v>
      </c>
      <c r="J43" s="15" t="s">
        <v>40</v>
      </c>
      <c r="K43" s="3" t="s">
        <v>534</v>
      </c>
    </row>
    <row r="44" spans="1:11" ht="22.5" x14ac:dyDescent="0.25">
      <c r="A44" s="146">
        <v>42</v>
      </c>
      <c r="B44" s="136" t="s">
        <v>1028</v>
      </c>
      <c r="C44" s="3" t="s">
        <v>708</v>
      </c>
      <c r="D44" s="137">
        <v>10</v>
      </c>
      <c r="E44" s="15" t="s">
        <v>11</v>
      </c>
      <c r="F44" s="145">
        <v>8500</v>
      </c>
      <c r="G44" s="23">
        <f t="shared" si="0"/>
        <v>85000</v>
      </c>
      <c r="H44" s="15" t="s">
        <v>632</v>
      </c>
      <c r="I44" s="8" t="s">
        <v>39</v>
      </c>
      <c r="J44" s="15" t="s">
        <v>40</v>
      </c>
      <c r="K44" s="3" t="s">
        <v>534</v>
      </c>
    </row>
    <row r="45" spans="1:11" ht="22.5" x14ac:dyDescent="0.25">
      <c r="A45" s="139">
        <v>43</v>
      </c>
      <c r="B45" s="138" t="s">
        <v>1029</v>
      </c>
      <c r="C45" s="3" t="s">
        <v>708</v>
      </c>
      <c r="D45" s="137">
        <v>10</v>
      </c>
      <c r="E45" s="15" t="s">
        <v>11</v>
      </c>
      <c r="F45" s="145">
        <v>8500</v>
      </c>
      <c r="G45" s="23">
        <f t="shared" si="0"/>
        <v>85000</v>
      </c>
      <c r="H45" s="15" t="s">
        <v>632</v>
      </c>
      <c r="I45" s="8" t="s">
        <v>39</v>
      </c>
      <c r="J45" s="15" t="s">
        <v>40</v>
      </c>
      <c r="K45" s="3" t="s">
        <v>534</v>
      </c>
    </row>
    <row r="46" spans="1:11" ht="22.5" x14ac:dyDescent="0.25">
      <c r="A46" s="139">
        <v>44</v>
      </c>
      <c r="B46" s="138" t="s">
        <v>1030</v>
      </c>
      <c r="C46" s="3" t="s">
        <v>708</v>
      </c>
      <c r="D46" s="137">
        <v>10</v>
      </c>
      <c r="E46" s="15" t="s">
        <v>11</v>
      </c>
      <c r="F46" s="145">
        <v>14000</v>
      </c>
      <c r="G46" s="23">
        <f t="shared" si="0"/>
        <v>140000</v>
      </c>
      <c r="H46" s="15" t="s">
        <v>632</v>
      </c>
      <c r="I46" s="8" t="s">
        <v>39</v>
      </c>
      <c r="J46" s="15" t="s">
        <v>40</v>
      </c>
      <c r="K46" s="3" t="s">
        <v>534</v>
      </c>
    </row>
    <row r="47" spans="1:11" ht="22.5" x14ac:dyDescent="0.25">
      <c r="A47" s="139">
        <v>45</v>
      </c>
      <c r="B47" s="138" t="s">
        <v>1031</v>
      </c>
      <c r="C47" s="3" t="s">
        <v>708</v>
      </c>
      <c r="D47" s="137">
        <v>10</v>
      </c>
      <c r="E47" s="15" t="s">
        <v>11</v>
      </c>
      <c r="F47" s="145">
        <v>17000</v>
      </c>
      <c r="G47" s="23">
        <f t="shared" si="0"/>
        <v>170000</v>
      </c>
      <c r="H47" s="15" t="s">
        <v>632</v>
      </c>
      <c r="I47" s="8" t="s">
        <v>39</v>
      </c>
      <c r="J47" s="15" t="s">
        <v>40</v>
      </c>
      <c r="K47" s="3" t="s">
        <v>534</v>
      </c>
    </row>
    <row r="48" spans="1:11" ht="22.5" x14ac:dyDescent="0.25">
      <c r="A48" s="139">
        <v>46</v>
      </c>
      <c r="B48" s="138" t="s">
        <v>1032</v>
      </c>
      <c r="C48" s="3" t="s">
        <v>708</v>
      </c>
      <c r="D48" s="137">
        <v>10</v>
      </c>
      <c r="E48" s="15" t="s">
        <v>11</v>
      </c>
      <c r="F48" s="145">
        <v>13000</v>
      </c>
      <c r="G48" s="23">
        <f t="shared" si="0"/>
        <v>130000</v>
      </c>
      <c r="H48" s="15" t="s">
        <v>632</v>
      </c>
      <c r="I48" s="8" t="s">
        <v>39</v>
      </c>
      <c r="J48" s="15" t="s">
        <v>40</v>
      </c>
      <c r="K48" s="3" t="s">
        <v>534</v>
      </c>
    </row>
    <row r="49" spans="1:11" ht="22.5" x14ac:dyDescent="0.25">
      <c r="A49" s="139">
        <v>47</v>
      </c>
      <c r="B49" s="138" t="s">
        <v>1033</v>
      </c>
      <c r="C49" s="3" t="s">
        <v>708</v>
      </c>
      <c r="D49" s="137">
        <v>10</v>
      </c>
      <c r="E49" s="15" t="s">
        <v>11</v>
      </c>
      <c r="F49" s="145">
        <v>13000</v>
      </c>
      <c r="G49" s="23">
        <f t="shared" si="0"/>
        <v>130000</v>
      </c>
      <c r="H49" s="15" t="s">
        <v>632</v>
      </c>
      <c r="I49" s="8" t="s">
        <v>39</v>
      </c>
      <c r="J49" s="15" t="s">
        <v>40</v>
      </c>
      <c r="K49" s="3" t="s">
        <v>534</v>
      </c>
    </row>
    <row r="50" spans="1:11" ht="22.5" x14ac:dyDescent="0.25">
      <c r="A50" s="139">
        <v>48</v>
      </c>
      <c r="B50" s="138" t="s">
        <v>1034</v>
      </c>
      <c r="C50" s="3" t="s">
        <v>708</v>
      </c>
      <c r="D50" s="137">
        <v>10</v>
      </c>
      <c r="E50" s="15" t="s">
        <v>11</v>
      </c>
      <c r="F50" s="145">
        <v>14000</v>
      </c>
      <c r="G50" s="23">
        <f t="shared" si="0"/>
        <v>140000</v>
      </c>
      <c r="H50" s="15" t="s">
        <v>632</v>
      </c>
      <c r="I50" s="8" t="s">
        <v>39</v>
      </c>
      <c r="J50" s="15" t="s">
        <v>40</v>
      </c>
      <c r="K50" s="3" t="s">
        <v>534</v>
      </c>
    </row>
    <row r="51" spans="1:11" ht="22.5" x14ac:dyDescent="0.25">
      <c r="A51" s="139">
        <v>49</v>
      </c>
      <c r="B51" s="138" t="s">
        <v>1031</v>
      </c>
      <c r="C51" s="3" t="s">
        <v>708</v>
      </c>
      <c r="D51" s="137">
        <v>10</v>
      </c>
      <c r="E51" s="15" t="s">
        <v>11</v>
      </c>
      <c r="F51" s="145">
        <v>17000</v>
      </c>
      <c r="G51" s="23">
        <f t="shared" si="0"/>
        <v>170000</v>
      </c>
      <c r="H51" s="15" t="s">
        <v>632</v>
      </c>
      <c r="I51" s="8" t="s">
        <v>39</v>
      </c>
      <c r="J51" s="15" t="s">
        <v>40</v>
      </c>
      <c r="K51" s="3" t="s">
        <v>534</v>
      </c>
    </row>
    <row r="52" spans="1:11" ht="22.5" x14ac:dyDescent="0.25">
      <c r="A52" s="139">
        <v>50</v>
      </c>
      <c r="B52" s="138" t="s">
        <v>1035</v>
      </c>
      <c r="C52" s="3" t="s">
        <v>708</v>
      </c>
      <c r="D52" s="137">
        <v>10</v>
      </c>
      <c r="E52" s="15" t="s">
        <v>11</v>
      </c>
      <c r="F52" s="145">
        <v>15000</v>
      </c>
      <c r="G52" s="23">
        <f t="shared" si="0"/>
        <v>150000</v>
      </c>
      <c r="H52" s="15" t="s">
        <v>632</v>
      </c>
      <c r="I52" s="8" t="s">
        <v>39</v>
      </c>
      <c r="J52" s="15" t="s">
        <v>40</v>
      </c>
      <c r="K52" s="3" t="s">
        <v>534</v>
      </c>
    </row>
    <row r="53" spans="1:11" ht="22.5" x14ac:dyDescent="0.25">
      <c r="A53" s="139">
        <v>51</v>
      </c>
      <c r="B53" s="138" t="s">
        <v>1036</v>
      </c>
      <c r="C53" s="3" t="s">
        <v>708</v>
      </c>
      <c r="D53" s="137">
        <v>10</v>
      </c>
      <c r="E53" s="15" t="s">
        <v>11</v>
      </c>
      <c r="F53" s="145">
        <v>14000</v>
      </c>
      <c r="G53" s="23">
        <f t="shared" si="0"/>
        <v>140000</v>
      </c>
      <c r="H53" s="15" t="s">
        <v>632</v>
      </c>
      <c r="I53" s="8" t="s">
        <v>39</v>
      </c>
      <c r="J53" s="15" t="s">
        <v>40</v>
      </c>
      <c r="K53" s="3" t="s">
        <v>534</v>
      </c>
    </row>
    <row r="54" spans="1:11" ht="22.5" x14ac:dyDescent="0.25">
      <c r="A54" s="139">
        <v>53</v>
      </c>
      <c r="B54" s="138" t="s">
        <v>1017</v>
      </c>
      <c r="C54" s="3" t="s">
        <v>708</v>
      </c>
      <c r="D54" s="137">
        <v>10</v>
      </c>
      <c r="E54" s="15" t="s">
        <v>11</v>
      </c>
      <c r="F54" s="145">
        <v>14000</v>
      </c>
      <c r="G54" s="23">
        <f t="shared" si="0"/>
        <v>140000</v>
      </c>
      <c r="H54" s="15" t="s">
        <v>632</v>
      </c>
      <c r="I54" s="8" t="s">
        <v>39</v>
      </c>
      <c r="J54" s="15" t="s">
        <v>40</v>
      </c>
      <c r="K54" s="3" t="s">
        <v>534</v>
      </c>
    </row>
    <row r="55" spans="1:11" ht="22.5" x14ac:dyDescent="0.25">
      <c r="A55" s="139">
        <v>54</v>
      </c>
      <c r="B55" s="138" t="s">
        <v>1037</v>
      </c>
      <c r="C55" s="3" t="s">
        <v>708</v>
      </c>
      <c r="D55" s="137">
        <v>10</v>
      </c>
      <c r="E55" s="15" t="s">
        <v>11</v>
      </c>
      <c r="F55" s="145">
        <v>8500</v>
      </c>
      <c r="G55" s="23">
        <f t="shared" si="0"/>
        <v>85000</v>
      </c>
      <c r="H55" s="15" t="s">
        <v>632</v>
      </c>
      <c r="I55" s="8" t="s">
        <v>39</v>
      </c>
      <c r="J55" s="15" t="s">
        <v>40</v>
      </c>
      <c r="K55" s="3" t="s">
        <v>534</v>
      </c>
    </row>
    <row r="56" spans="1:11" ht="22.5" x14ac:dyDescent="0.25">
      <c r="A56" s="139">
        <v>55</v>
      </c>
      <c r="B56" s="138" t="s">
        <v>1038</v>
      </c>
      <c r="C56" s="3" t="s">
        <v>708</v>
      </c>
      <c r="D56" s="137">
        <v>10</v>
      </c>
      <c r="E56" s="15" t="s">
        <v>11</v>
      </c>
      <c r="F56" s="145">
        <v>9000</v>
      </c>
      <c r="G56" s="23">
        <f t="shared" si="0"/>
        <v>90000</v>
      </c>
      <c r="H56" s="15" t="s">
        <v>632</v>
      </c>
      <c r="I56" s="8" t="s">
        <v>39</v>
      </c>
      <c r="J56" s="15" t="s">
        <v>40</v>
      </c>
      <c r="K56" s="3" t="s">
        <v>534</v>
      </c>
    </row>
    <row r="57" spans="1:11" ht="22.5" x14ac:dyDescent="0.25">
      <c r="A57" s="139">
        <v>56</v>
      </c>
      <c r="B57" s="138" t="s">
        <v>1039</v>
      </c>
      <c r="C57" s="3" t="s">
        <v>708</v>
      </c>
      <c r="D57" s="137">
        <v>10</v>
      </c>
      <c r="E57" s="15" t="s">
        <v>11</v>
      </c>
      <c r="F57" s="145">
        <v>9000</v>
      </c>
      <c r="G57" s="23">
        <f t="shared" si="0"/>
        <v>90000</v>
      </c>
      <c r="H57" s="15" t="s">
        <v>632</v>
      </c>
      <c r="I57" s="8" t="s">
        <v>39</v>
      </c>
      <c r="J57" s="15" t="s">
        <v>40</v>
      </c>
      <c r="K57" s="3" t="s">
        <v>534</v>
      </c>
    </row>
    <row r="58" spans="1:11" ht="22.5" x14ac:dyDescent="0.25">
      <c r="A58" s="139">
        <v>57</v>
      </c>
      <c r="B58" s="138" t="s">
        <v>1040</v>
      </c>
      <c r="C58" s="3" t="s">
        <v>708</v>
      </c>
      <c r="D58" s="137">
        <v>10</v>
      </c>
      <c r="E58" s="15" t="s">
        <v>11</v>
      </c>
      <c r="F58" s="145">
        <v>9000</v>
      </c>
      <c r="G58" s="23">
        <f t="shared" si="0"/>
        <v>90000</v>
      </c>
      <c r="H58" s="15" t="s">
        <v>632</v>
      </c>
      <c r="I58" s="8" t="s">
        <v>39</v>
      </c>
      <c r="J58" s="15" t="s">
        <v>40</v>
      </c>
      <c r="K58" s="3" t="s">
        <v>534</v>
      </c>
    </row>
    <row r="59" spans="1:11" ht="22.5" x14ac:dyDescent="0.25">
      <c r="A59" s="139">
        <v>58</v>
      </c>
      <c r="B59" s="138" t="s">
        <v>1013</v>
      </c>
      <c r="C59" s="3" t="s">
        <v>708</v>
      </c>
      <c r="D59" s="137">
        <v>10</v>
      </c>
      <c r="E59" s="15" t="s">
        <v>11</v>
      </c>
      <c r="F59" s="145">
        <v>9000</v>
      </c>
      <c r="G59" s="23">
        <f t="shared" si="0"/>
        <v>90000</v>
      </c>
      <c r="H59" s="15" t="s">
        <v>632</v>
      </c>
      <c r="I59" s="8" t="s">
        <v>39</v>
      </c>
      <c r="J59" s="15" t="s">
        <v>40</v>
      </c>
      <c r="K59" s="3" t="s">
        <v>534</v>
      </c>
    </row>
    <row r="60" spans="1:11" ht="22.5" x14ac:dyDescent="0.25">
      <c r="A60" s="139">
        <v>59</v>
      </c>
      <c r="B60" s="138" t="s">
        <v>1016</v>
      </c>
      <c r="C60" s="3" t="s">
        <v>708</v>
      </c>
      <c r="D60" s="137">
        <v>10</v>
      </c>
      <c r="E60" s="15" t="s">
        <v>11</v>
      </c>
      <c r="F60" s="145">
        <v>9000</v>
      </c>
      <c r="G60" s="23">
        <f t="shared" si="0"/>
        <v>90000</v>
      </c>
      <c r="H60" s="15" t="s">
        <v>632</v>
      </c>
      <c r="I60" s="8" t="s">
        <v>39</v>
      </c>
      <c r="J60" s="15" t="s">
        <v>40</v>
      </c>
      <c r="K60" s="3" t="s">
        <v>534</v>
      </c>
    </row>
    <row r="61" spans="1:11" ht="22.5" x14ac:dyDescent="0.25">
      <c r="A61" s="139">
        <v>60</v>
      </c>
      <c r="B61" s="136" t="s">
        <v>1041</v>
      </c>
      <c r="C61" s="3" t="s">
        <v>708</v>
      </c>
      <c r="D61" s="137">
        <v>10</v>
      </c>
      <c r="E61" s="15" t="s">
        <v>11</v>
      </c>
      <c r="F61" s="145">
        <v>6500</v>
      </c>
      <c r="G61" s="23">
        <f t="shared" si="0"/>
        <v>65000</v>
      </c>
      <c r="H61" s="15" t="s">
        <v>632</v>
      </c>
      <c r="I61" s="8" t="s">
        <v>39</v>
      </c>
      <c r="J61" s="15" t="s">
        <v>40</v>
      </c>
      <c r="K61" s="3" t="s">
        <v>534</v>
      </c>
    </row>
    <row r="62" spans="1:11" ht="22.5" x14ac:dyDescent="0.25">
      <c r="A62" s="139">
        <v>61</v>
      </c>
      <c r="B62" s="136" t="s">
        <v>1042</v>
      </c>
      <c r="C62" s="3" t="s">
        <v>708</v>
      </c>
      <c r="D62" s="137">
        <v>10</v>
      </c>
      <c r="E62" s="14" t="s">
        <v>11</v>
      </c>
      <c r="F62" s="145">
        <v>6500</v>
      </c>
      <c r="G62" s="23">
        <f t="shared" si="0"/>
        <v>65000</v>
      </c>
      <c r="H62" s="15" t="s">
        <v>632</v>
      </c>
      <c r="I62" s="8" t="s">
        <v>39</v>
      </c>
      <c r="J62" s="15" t="s">
        <v>40</v>
      </c>
      <c r="K62" s="3" t="s">
        <v>534</v>
      </c>
    </row>
    <row r="63" spans="1:11" ht="22.5" x14ac:dyDescent="0.25">
      <c r="A63" s="139">
        <v>62</v>
      </c>
      <c r="B63" s="136" t="s">
        <v>1043</v>
      </c>
      <c r="C63" s="3" t="s">
        <v>708</v>
      </c>
      <c r="D63" s="137">
        <v>10</v>
      </c>
      <c r="E63" s="14" t="s">
        <v>11</v>
      </c>
      <c r="F63" s="145">
        <v>7000</v>
      </c>
      <c r="G63" s="23">
        <f t="shared" si="0"/>
        <v>70000</v>
      </c>
      <c r="H63" s="15" t="s">
        <v>632</v>
      </c>
      <c r="I63" s="8" t="s">
        <v>39</v>
      </c>
      <c r="J63" s="15" t="s">
        <v>40</v>
      </c>
      <c r="K63" s="3" t="s">
        <v>534</v>
      </c>
    </row>
    <row r="64" spans="1:11" ht="22.5" x14ac:dyDescent="0.25">
      <c r="A64" s="139">
        <v>63</v>
      </c>
      <c r="B64" s="136" t="s">
        <v>1044</v>
      </c>
      <c r="C64" s="3" t="s">
        <v>708</v>
      </c>
      <c r="D64" s="137">
        <v>10</v>
      </c>
      <c r="E64" s="14" t="s">
        <v>11</v>
      </c>
      <c r="F64" s="145">
        <v>7000</v>
      </c>
      <c r="G64" s="23">
        <f t="shared" si="0"/>
        <v>70000</v>
      </c>
      <c r="H64" s="15" t="s">
        <v>632</v>
      </c>
      <c r="I64" s="8" t="s">
        <v>39</v>
      </c>
      <c r="J64" s="15" t="s">
        <v>40</v>
      </c>
      <c r="K64" s="3" t="s">
        <v>534</v>
      </c>
    </row>
    <row r="65" spans="1:11" ht="22.5" x14ac:dyDescent="0.25">
      <c r="A65" s="139">
        <v>64</v>
      </c>
      <c r="B65" s="136" t="s">
        <v>1045</v>
      </c>
      <c r="C65" s="3" t="s">
        <v>708</v>
      </c>
      <c r="D65" s="137">
        <v>10</v>
      </c>
      <c r="E65" s="14" t="s">
        <v>11</v>
      </c>
      <c r="F65" s="145">
        <v>7500</v>
      </c>
      <c r="G65" s="23">
        <f t="shared" si="0"/>
        <v>75000</v>
      </c>
      <c r="H65" s="15" t="s">
        <v>632</v>
      </c>
      <c r="I65" s="8" t="s">
        <v>39</v>
      </c>
      <c r="J65" s="15" t="s">
        <v>40</v>
      </c>
      <c r="K65" s="3" t="s">
        <v>534</v>
      </c>
    </row>
    <row r="66" spans="1:11" ht="22.5" x14ac:dyDescent="0.25">
      <c r="A66" s="139">
        <v>65</v>
      </c>
      <c r="B66" s="136" t="s">
        <v>1046</v>
      </c>
      <c r="C66" s="3" t="s">
        <v>708</v>
      </c>
      <c r="D66" s="137">
        <v>10</v>
      </c>
      <c r="E66" s="14" t="s">
        <v>11</v>
      </c>
      <c r="F66" s="145">
        <v>6500</v>
      </c>
      <c r="G66" s="23">
        <f t="shared" si="0"/>
        <v>65000</v>
      </c>
      <c r="H66" s="15" t="s">
        <v>632</v>
      </c>
      <c r="I66" s="8" t="s">
        <v>39</v>
      </c>
      <c r="J66" s="15" t="s">
        <v>40</v>
      </c>
      <c r="K66" s="3" t="s">
        <v>534</v>
      </c>
    </row>
    <row r="67" spans="1:11" ht="22.5" x14ac:dyDescent="0.25">
      <c r="A67" s="139">
        <v>66</v>
      </c>
      <c r="B67" s="136" t="s">
        <v>1047</v>
      </c>
      <c r="C67" s="3" t="s">
        <v>708</v>
      </c>
      <c r="D67" s="137">
        <v>10</v>
      </c>
      <c r="E67" s="14" t="s">
        <v>11</v>
      </c>
      <c r="F67" s="145">
        <v>7000</v>
      </c>
      <c r="G67" s="23">
        <f t="shared" si="0"/>
        <v>70000</v>
      </c>
      <c r="H67" s="15" t="s">
        <v>632</v>
      </c>
      <c r="I67" s="8" t="s">
        <v>39</v>
      </c>
      <c r="J67" s="15" t="s">
        <v>40</v>
      </c>
      <c r="K67" s="3" t="s">
        <v>534</v>
      </c>
    </row>
    <row r="68" spans="1:11" ht="22.5" x14ac:dyDescent="0.25">
      <c r="A68" s="139">
        <v>67</v>
      </c>
      <c r="B68" s="136" t="s">
        <v>1048</v>
      </c>
      <c r="C68" s="3" t="s">
        <v>708</v>
      </c>
      <c r="D68" s="137">
        <v>11</v>
      </c>
      <c r="E68" s="14" t="s">
        <v>11</v>
      </c>
      <c r="F68" s="145">
        <v>7000</v>
      </c>
      <c r="G68" s="23">
        <f t="shared" si="0"/>
        <v>77000</v>
      </c>
      <c r="H68" s="15" t="s">
        <v>632</v>
      </c>
      <c r="I68" s="8" t="s">
        <v>39</v>
      </c>
      <c r="J68" s="15" t="s">
        <v>40</v>
      </c>
      <c r="K68" s="3" t="s">
        <v>534</v>
      </c>
    </row>
    <row r="69" spans="1:11" ht="22.5" x14ac:dyDescent="0.25">
      <c r="A69" s="139">
        <v>68</v>
      </c>
      <c r="B69" s="136" t="s">
        <v>1049</v>
      </c>
      <c r="C69" s="3" t="s">
        <v>708</v>
      </c>
      <c r="D69" s="137">
        <v>10</v>
      </c>
      <c r="E69" s="14" t="s">
        <v>11</v>
      </c>
      <c r="F69" s="145">
        <v>9000</v>
      </c>
      <c r="G69" s="23">
        <f t="shared" si="0"/>
        <v>90000</v>
      </c>
      <c r="H69" s="15" t="s">
        <v>632</v>
      </c>
      <c r="I69" s="8" t="s">
        <v>39</v>
      </c>
      <c r="J69" s="15" t="s">
        <v>40</v>
      </c>
      <c r="K69" s="3" t="s">
        <v>534</v>
      </c>
    </row>
    <row r="70" spans="1:11" ht="22.5" x14ac:dyDescent="0.25">
      <c r="A70" s="139">
        <v>69</v>
      </c>
      <c r="B70" s="136" t="s">
        <v>1026</v>
      </c>
      <c r="C70" s="3" t="s">
        <v>708</v>
      </c>
      <c r="D70" s="137">
        <v>10</v>
      </c>
      <c r="E70" s="14" t="s">
        <v>11</v>
      </c>
      <c r="F70" s="145">
        <v>6500</v>
      </c>
      <c r="G70" s="23">
        <f t="shared" ref="G70:G87" si="1">D70*F70</f>
        <v>65000</v>
      </c>
      <c r="H70" s="15" t="s">
        <v>632</v>
      </c>
      <c r="I70" s="8" t="s">
        <v>39</v>
      </c>
      <c r="J70" s="15" t="s">
        <v>40</v>
      </c>
      <c r="K70" s="3" t="s">
        <v>534</v>
      </c>
    </row>
    <row r="71" spans="1:11" ht="22.5" x14ac:dyDescent="0.25">
      <c r="A71" s="139">
        <v>70</v>
      </c>
      <c r="B71" s="136" t="s">
        <v>1048</v>
      </c>
      <c r="C71" s="3" t="s">
        <v>708</v>
      </c>
      <c r="D71" s="137">
        <v>10</v>
      </c>
      <c r="E71" s="14" t="s">
        <v>11</v>
      </c>
      <c r="F71" s="145">
        <v>6500</v>
      </c>
      <c r="G71" s="23">
        <f t="shared" si="1"/>
        <v>65000</v>
      </c>
      <c r="H71" s="15" t="s">
        <v>632</v>
      </c>
      <c r="I71" s="8" t="s">
        <v>39</v>
      </c>
      <c r="J71" s="15" t="s">
        <v>40</v>
      </c>
      <c r="K71" s="3" t="s">
        <v>534</v>
      </c>
    </row>
    <row r="72" spans="1:11" ht="22.5" x14ac:dyDescent="0.25">
      <c r="A72" s="139">
        <v>71</v>
      </c>
      <c r="B72" s="136" t="s">
        <v>1050</v>
      </c>
      <c r="C72" s="3" t="s">
        <v>708</v>
      </c>
      <c r="D72" s="137">
        <v>10</v>
      </c>
      <c r="E72" s="14" t="s">
        <v>11</v>
      </c>
      <c r="F72" s="145">
        <v>6500</v>
      </c>
      <c r="G72" s="23">
        <f t="shared" si="1"/>
        <v>65000</v>
      </c>
      <c r="H72" s="15" t="s">
        <v>632</v>
      </c>
      <c r="I72" s="8" t="s">
        <v>39</v>
      </c>
      <c r="J72" s="15" t="s">
        <v>40</v>
      </c>
      <c r="K72" s="3" t="s">
        <v>534</v>
      </c>
    </row>
    <row r="73" spans="1:11" ht="22.5" x14ac:dyDescent="0.25">
      <c r="A73" s="139">
        <v>72</v>
      </c>
      <c r="B73" s="136" t="s">
        <v>1051</v>
      </c>
      <c r="C73" s="3" t="s">
        <v>708</v>
      </c>
      <c r="D73" s="137">
        <v>8</v>
      </c>
      <c r="E73" s="14" t="s">
        <v>11</v>
      </c>
      <c r="F73" s="145">
        <v>6500</v>
      </c>
      <c r="G73" s="23">
        <f t="shared" si="1"/>
        <v>52000</v>
      </c>
      <c r="H73" s="15" t="s">
        <v>632</v>
      </c>
      <c r="I73" s="8" t="s">
        <v>39</v>
      </c>
      <c r="J73" s="15" t="s">
        <v>40</v>
      </c>
      <c r="K73" s="3" t="s">
        <v>534</v>
      </c>
    </row>
    <row r="74" spans="1:11" ht="22.5" x14ac:dyDescent="0.25">
      <c r="A74" s="139">
        <v>73</v>
      </c>
      <c r="B74" s="136" t="s">
        <v>1052</v>
      </c>
      <c r="C74" s="3" t="s">
        <v>708</v>
      </c>
      <c r="D74" s="137">
        <v>6</v>
      </c>
      <c r="E74" s="14" t="s">
        <v>11</v>
      </c>
      <c r="F74" s="145">
        <v>6500</v>
      </c>
      <c r="G74" s="23">
        <f t="shared" si="1"/>
        <v>39000</v>
      </c>
      <c r="H74" s="15" t="s">
        <v>632</v>
      </c>
      <c r="I74" s="8" t="s">
        <v>39</v>
      </c>
      <c r="J74" s="15" t="s">
        <v>40</v>
      </c>
      <c r="K74" s="3" t="s">
        <v>534</v>
      </c>
    </row>
    <row r="75" spans="1:11" ht="22.5" x14ac:dyDescent="0.25">
      <c r="A75" s="139">
        <v>74</v>
      </c>
      <c r="B75" s="136" t="s">
        <v>1053</v>
      </c>
      <c r="C75" s="3" t="s">
        <v>708</v>
      </c>
      <c r="D75" s="137">
        <v>10</v>
      </c>
      <c r="E75" s="14" t="s">
        <v>11</v>
      </c>
      <c r="F75" s="145">
        <v>6500</v>
      </c>
      <c r="G75" s="23">
        <f t="shared" si="1"/>
        <v>65000</v>
      </c>
      <c r="H75" s="15" t="s">
        <v>632</v>
      </c>
      <c r="I75" s="8" t="s">
        <v>39</v>
      </c>
      <c r="J75" s="15" t="s">
        <v>40</v>
      </c>
      <c r="K75" s="3" t="s">
        <v>534</v>
      </c>
    </row>
    <row r="76" spans="1:11" ht="22.5" x14ac:dyDescent="0.25">
      <c r="A76" s="139">
        <v>75</v>
      </c>
      <c r="B76" s="136" t="s">
        <v>1054</v>
      </c>
      <c r="C76" s="3" t="s">
        <v>708</v>
      </c>
      <c r="D76" s="137">
        <v>10</v>
      </c>
      <c r="E76" s="14" t="s">
        <v>11</v>
      </c>
      <c r="F76" s="145">
        <v>6500</v>
      </c>
      <c r="G76" s="23">
        <f t="shared" si="1"/>
        <v>65000</v>
      </c>
      <c r="H76" s="15" t="s">
        <v>632</v>
      </c>
      <c r="I76" s="8" t="s">
        <v>39</v>
      </c>
      <c r="J76" s="15" t="s">
        <v>40</v>
      </c>
      <c r="K76" s="3" t="s">
        <v>534</v>
      </c>
    </row>
    <row r="77" spans="1:11" ht="22.5" x14ac:dyDescent="0.25">
      <c r="A77" s="139">
        <v>76</v>
      </c>
      <c r="B77" s="138" t="s">
        <v>1055</v>
      </c>
      <c r="C77" s="3" t="s">
        <v>708</v>
      </c>
      <c r="D77" s="137">
        <v>7</v>
      </c>
      <c r="E77" s="14" t="s">
        <v>11</v>
      </c>
      <c r="F77" s="147">
        <v>56700</v>
      </c>
      <c r="G77" s="23">
        <f t="shared" si="1"/>
        <v>396900</v>
      </c>
      <c r="H77" s="15" t="s">
        <v>632</v>
      </c>
      <c r="I77" s="8" t="s">
        <v>39</v>
      </c>
      <c r="J77" s="15" t="s">
        <v>40</v>
      </c>
      <c r="K77" s="3" t="s">
        <v>534</v>
      </c>
    </row>
    <row r="78" spans="1:11" ht="22.5" x14ac:dyDescent="0.25">
      <c r="A78" s="139">
        <v>77</v>
      </c>
      <c r="B78" s="138" t="s">
        <v>1056</v>
      </c>
      <c r="C78" s="3" t="s">
        <v>708</v>
      </c>
      <c r="D78" s="137">
        <v>7</v>
      </c>
      <c r="E78" s="14" t="s">
        <v>11</v>
      </c>
      <c r="F78" s="147">
        <v>79650</v>
      </c>
      <c r="G78" s="23">
        <f t="shared" si="1"/>
        <v>557550</v>
      </c>
      <c r="H78" s="15" t="s">
        <v>632</v>
      </c>
      <c r="I78" s="8" t="s">
        <v>39</v>
      </c>
      <c r="J78" s="15" t="s">
        <v>40</v>
      </c>
      <c r="K78" s="3" t="s">
        <v>534</v>
      </c>
    </row>
    <row r="79" spans="1:11" ht="22.5" x14ac:dyDescent="0.25">
      <c r="A79" s="139">
        <v>78</v>
      </c>
      <c r="B79" s="138" t="s">
        <v>1057</v>
      </c>
      <c r="C79" s="3" t="s">
        <v>708</v>
      </c>
      <c r="D79" s="139">
        <v>8</v>
      </c>
      <c r="E79" s="14" t="s">
        <v>11</v>
      </c>
      <c r="F79" s="147">
        <v>51300</v>
      </c>
      <c r="G79" s="23">
        <f t="shared" si="1"/>
        <v>410400</v>
      </c>
      <c r="H79" s="15" t="s">
        <v>632</v>
      </c>
      <c r="I79" s="8" t="s">
        <v>39</v>
      </c>
      <c r="J79" s="15" t="s">
        <v>40</v>
      </c>
      <c r="K79" s="3" t="s">
        <v>534</v>
      </c>
    </row>
    <row r="80" spans="1:11" ht="22.5" x14ac:dyDescent="0.25">
      <c r="A80" s="148">
        <v>79</v>
      </c>
      <c r="B80" s="140" t="s">
        <v>1058</v>
      </c>
      <c r="C80" s="3" t="s">
        <v>708</v>
      </c>
      <c r="D80" s="139">
        <v>7</v>
      </c>
      <c r="E80" s="14" t="s">
        <v>11</v>
      </c>
      <c r="F80" s="148">
        <v>119600</v>
      </c>
      <c r="G80" s="23">
        <f t="shared" si="1"/>
        <v>837200</v>
      </c>
      <c r="H80" s="15" t="s">
        <v>632</v>
      </c>
      <c r="I80" s="8" t="s">
        <v>39</v>
      </c>
      <c r="J80" s="15" t="s">
        <v>40</v>
      </c>
      <c r="K80" s="3" t="s">
        <v>534</v>
      </c>
    </row>
    <row r="81" spans="1:11" ht="22.5" x14ac:dyDescent="0.25">
      <c r="A81" s="148">
        <v>80</v>
      </c>
      <c r="B81" s="140" t="s">
        <v>1059</v>
      </c>
      <c r="C81" s="3" t="s">
        <v>708</v>
      </c>
      <c r="D81" s="139">
        <v>7</v>
      </c>
      <c r="E81" s="14" t="s">
        <v>11</v>
      </c>
      <c r="F81" s="149">
        <v>84500</v>
      </c>
      <c r="G81" s="23">
        <f t="shared" si="1"/>
        <v>591500</v>
      </c>
      <c r="H81" s="15" t="s">
        <v>632</v>
      </c>
      <c r="I81" s="8" t="s">
        <v>39</v>
      </c>
      <c r="J81" s="15" t="s">
        <v>40</v>
      </c>
      <c r="K81" s="3" t="s">
        <v>534</v>
      </c>
    </row>
    <row r="82" spans="1:11" ht="22.5" x14ac:dyDescent="0.25">
      <c r="A82" s="148">
        <v>81</v>
      </c>
      <c r="B82" s="140" t="s">
        <v>1060</v>
      </c>
      <c r="C82" s="3" t="s">
        <v>708</v>
      </c>
      <c r="D82" s="139">
        <v>7</v>
      </c>
      <c r="E82" s="14" t="s">
        <v>11</v>
      </c>
      <c r="F82" s="149">
        <v>119600</v>
      </c>
      <c r="G82" s="23">
        <f t="shared" si="1"/>
        <v>837200</v>
      </c>
      <c r="H82" s="15" t="s">
        <v>632</v>
      </c>
      <c r="I82" s="8" t="s">
        <v>39</v>
      </c>
      <c r="J82" s="15" t="s">
        <v>40</v>
      </c>
      <c r="K82" s="3" t="s">
        <v>534</v>
      </c>
    </row>
    <row r="83" spans="1:11" ht="22.5" x14ac:dyDescent="0.25">
      <c r="A83" s="148">
        <v>82</v>
      </c>
      <c r="B83" s="140" t="s">
        <v>1061</v>
      </c>
      <c r="C83" s="3" t="s">
        <v>708</v>
      </c>
      <c r="D83" s="139">
        <v>7</v>
      </c>
      <c r="E83" s="14" t="s">
        <v>11</v>
      </c>
      <c r="F83" s="149">
        <v>94700</v>
      </c>
      <c r="G83" s="23">
        <f t="shared" si="1"/>
        <v>662900</v>
      </c>
      <c r="H83" s="15" t="s">
        <v>632</v>
      </c>
      <c r="I83" s="8" t="s">
        <v>39</v>
      </c>
      <c r="J83" s="15" t="s">
        <v>40</v>
      </c>
      <c r="K83" s="3" t="s">
        <v>534</v>
      </c>
    </row>
    <row r="84" spans="1:11" ht="22.5" x14ac:dyDescent="0.25">
      <c r="A84" s="148">
        <v>83</v>
      </c>
      <c r="B84" s="140" t="s">
        <v>1062</v>
      </c>
      <c r="C84" s="3" t="s">
        <v>708</v>
      </c>
      <c r="D84" s="139">
        <v>7</v>
      </c>
      <c r="E84" s="14" t="s">
        <v>11</v>
      </c>
      <c r="F84" s="149">
        <v>180900</v>
      </c>
      <c r="G84" s="23">
        <f t="shared" si="1"/>
        <v>1266300</v>
      </c>
      <c r="H84" s="15" t="s">
        <v>632</v>
      </c>
      <c r="I84" s="8" t="s">
        <v>39</v>
      </c>
      <c r="J84" s="15" t="s">
        <v>40</v>
      </c>
      <c r="K84" s="3" t="s">
        <v>534</v>
      </c>
    </row>
    <row r="85" spans="1:11" ht="22.5" x14ac:dyDescent="0.25">
      <c r="A85" s="148">
        <v>84</v>
      </c>
      <c r="B85" s="140" t="s">
        <v>1063</v>
      </c>
      <c r="C85" s="3" t="s">
        <v>708</v>
      </c>
      <c r="D85" s="139">
        <v>7</v>
      </c>
      <c r="E85" s="14" t="s">
        <v>11</v>
      </c>
      <c r="F85" s="149">
        <v>151315</v>
      </c>
      <c r="G85" s="23">
        <f t="shared" si="1"/>
        <v>1059205</v>
      </c>
      <c r="H85" s="15" t="s">
        <v>632</v>
      </c>
      <c r="I85" s="8" t="s">
        <v>39</v>
      </c>
      <c r="J85" s="15" t="s">
        <v>40</v>
      </c>
      <c r="K85" s="3" t="s">
        <v>534</v>
      </c>
    </row>
    <row r="86" spans="1:11" ht="22.5" x14ac:dyDescent="0.25">
      <c r="A86" s="148">
        <v>85</v>
      </c>
      <c r="B86" s="140" t="s">
        <v>1064</v>
      </c>
      <c r="C86" s="3" t="s">
        <v>708</v>
      </c>
      <c r="D86" s="139">
        <v>7</v>
      </c>
      <c r="E86" s="14" t="s">
        <v>11</v>
      </c>
      <c r="F86" s="149">
        <v>74250</v>
      </c>
      <c r="G86" s="23">
        <f t="shared" si="1"/>
        <v>519750</v>
      </c>
      <c r="H86" s="15" t="s">
        <v>632</v>
      </c>
      <c r="I86" s="8" t="s">
        <v>39</v>
      </c>
      <c r="J86" s="15" t="s">
        <v>40</v>
      </c>
      <c r="K86" s="3" t="s">
        <v>534</v>
      </c>
    </row>
    <row r="87" spans="1:11" ht="22.5" x14ac:dyDescent="0.25">
      <c r="A87" s="148">
        <v>86</v>
      </c>
      <c r="B87" s="140" t="s">
        <v>1065</v>
      </c>
      <c r="C87" s="3" t="s">
        <v>708</v>
      </c>
      <c r="D87" s="139">
        <v>7</v>
      </c>
      <c r="E87" s="14" t="s">
        <v>11</v>
      </c>
      <c r="F87" s="149">
        <v>299900</v>
      </c>
      <c r="G87" s="23">
        <f t="shared" si="1"/>
        <v>2099300</v>
      </c>
      <c r="H87" s="15" t="s">
        <v>632</v>
      </c>
      <c r="I87" s="8" t="s">
        <v>39</v>
      </c>
      <c r="J87" s="15" t="s">
        <v>40</v>
      </c>
      <c r="K87" s="3" t="s">
        <v>534</v>
      </c>
    </row>
    <row r="88" spans="1:11" x14ac:dyDescent="0.25">
      <c r="A88" s="13"/>
      <c r="B88" s="13"/>
      <c r="C88" s="13"/>
      <c r="D88" s="13"/>
      <c r="E88" s="13"/>
      <c r="F88" s="13"/>
      <c r="G88" s="122">
        <f>SUM(G5:G87)</f>
        <v>60000000</v>
      </c>
      <c r="H88" s="13"/>
      <c r="I88" s="13"/>
      <c r="J88" s="13"/>
      <c r="K88" s="13"/>
    </row>
    <row r="89" spans="1:11" x14ac:dyDescent="0.25">
      <c r="A89" s="13"/>
      <c r="B89" s="13"/>
      <c r="C89" s="13"/>
      <c r="D89" s="13"/>
      <c r="E89" s="13"/>
      <c r="F89" s="13"/>
      <c r="G89" s="13"/>
      <c r="H89" s="13"/>
      <c r="I89" s="13"/>
      <c r="J89" s="13"/>
      <c r="K89" s="13"/>
    </row>
    <row r="90" spans="1:11" x14ac:dyDescent="0.25">
      <c r="B90" s="22"/>
      <c r="C90" s="22"/>
      <c r="D90" s="13"/>
      <c r="E90" s="13"/>
      <c r="F90" s="13"/>
      <c r="G90" s="13"/>
      <c r="H90" s="13"/>
      <c r="I90" s="13"/>
      <c r="J90" s="13"/>
      <c r="K90" s="13"/>
    </row>
    <row r="91" spans="1:11" x14ac:dyDescent="0.25">
      <c r="B91" s="22"/>
      <c r="C91" s="22"/>
      <c r="D91" s="13"/>
      <c r="E91" s="13"/>
      <c r="F91" s="13"/>
      <c r="G91" s="13"/>
      <c r="H91" s="13"/>
      <c r="I91" s="13"/>
      <c r="J91" s="13"/>
      <c r="K91" s="13"/>
    </row>
    <row r="92" spans="1:11" x14ac:dyDescent="0.25">
      <c r="B92" s="22"/>
      <c r="C92" s="22"/>
      <c r="D92" s="13"/>
      <c r="E92" s="13"/>
      <c r="F92" s="13"/>
      <c r="G92" s="13"/>
      <c r="H92" s="13"/>
      <c r="I92" s="13"/>
      <c r="J92" s="13"/>
      <c r="K92" s="13"/>
    </row>
    <row r="93" spans="1:11" x14ac:dyDescent="0.25">
      <c r="B93" s="22"/>
      <c r="C93" s="22"/>
      <c r="D93" s="13"/>
      <c r="E93" s="13"/>
      <c r="F93" s="13"/>
      <c r="G93" s="13"/>
      <c r="H93" s="13"/>
      <c r="I93" s="13"/>
      <c r="J93" s="13"/>
      <c r="K93" s="13"/>
    </row>
    <row r="94" spans="1:11" x14ac:dyDescent="0.25">
      <c r="B94" s="22"/>
      <c r="C94" s="22"/>
      <c r="D94" s="13"/>
      <c r="E94" s="13"/>
      <c r="F94" s="13"/>
      <c r="G94" s="13"/>
      <c r="H94" s="13"/>
      <c r="I94" s="13"/>
      <c r="J94" s="13"/>
      <c r="K94" s="13"/>
    </row>
    <row r="95" spans="1:11" x14ac:dyDescent="0.25">
      <c r="B95" s="22"/>
      <c r="C95" s="22"/>
      <c r="D95" s="13"/>
      <c r="E95" s="13"/>
      <c r="F95" s="13"/>
      <c r="G95" s="13"/>
      <c r="H95" s="13"/>
      <c r="I95" s="13"/>
      <c r="J95" s="13"/>
      <c r="K95" s="13"/>
    </row>
    <row r="96" spans="1:11" x14ac:dyDescent="0.25">
      <c r="B96" s="22"/>
      <c r="C96" s="22"/>
      <c r="D96" s="13"/>
      <c r="E96" s="13"/>
      <c r="F96" s="13"/>
      <c r="G96" s="13"/>
      <c r="H96" s="13"/>
      <c r="I96" s="13"/>
      <c r="J96" s="13"/>
      <c r="K96" s="13"/>
    </row>
    <row r="97" spans="2:11" x14ac:dyDescent="0.25">
      <c r="B97" s="22"/>
      <c r="C97" s="22"/>
      <c r="D97" s="13"/>
      <c r="E97" s="13"/>
      <c r="F97" s="13"/>
      <c r="G97" s="13"/>
      <c r="H97" s="13"/>
      <c r="I97" s="13"/>
      <c r="J97" s="13"/>
      <c r="K97" s="13"/>
    </row>
    <row r="98" spans="2:11" x14ac:dyDescent="0.25">
      <c r="B98" s="22"/>
      <c r="C98" s="22"/>
      <c r="D98" s="22"/>
      <c r="E98" s="22"/>
      <c r="F98" s="22"/>
      <c r="G98" s="22"/>
      <c r="H98" s="22"/>
      <c r="I98" s="22"/>
      <c r="J98" s="22"/>
    </row>
    <row r="99" spans="2:11" x14ac:dyDescent="0.25">
      <c r="B99" s="22"/>
      <c r="C99" s="22"/>
      <c r="D99" s="22"/>
      <c r="E99" s="22"/>
      <c r="F99" s="22"/>
      <c r="G99" s="22"/>
      <c r="H99" s="22"/>
      <c r="I99" s="22"/>
      <c r="J99" s="22"/>
    </row>
    <row r="100" spans="2:11" x14ac:dyDescent="0.25">
      <c r="B100" s="22"/>
      <c r="C100" s="22"/>
      <c r="D100" s="22"/>
      <c r="E100" s="22"/>
      <c r="F100" s="22"/>
      <c r="G100" s="22"/>
      <c r="H100" s="22"/>
      <c r="I100" s="22"/>
      <c r="J100" s="22"/>
    </row>
    <row r="101" spans="2:11" x14ac:dyDescent="0.25">
      <c r="B101" s="22"/>
      <c r="C101" s="22"/>
      <c r="D101" s="22"/>
      <c r="E101" s="22"/>
      <c r="F101" s="22"/>
      <c r="G101" s="22"/>
      <c r="H101" s="22"/>
      <c r="I101" s="22"/>
      <c r="J101" s="22"/>
    </row>
    <row r="102" spans="2:11" x14ac:dyDescent="0.25">
      <c r="B102" s="22"/>
      <c r="C102" s="22"/>
      <c r="D102" s="22"/>
      <c r="E102" s="22"/>
      <c r="F102" s="22"/>
      <c r="G102" s="22"/>
      <c r="H102" s="22"/>
      <c r="I102" s="22"/>
      <c r="J102" s="22"/>
    </row>
    <row r="103" spans="2:11" x14ac:dyDescent="0.25">
      <c r="B103" s="22"/>
      <c r="C103" s="22"/>
      <c r="D103" s="22"/>
      <c r="E103" s="22"/>
      <c r="F103" s="22"/>
      <c r="G103" s="22"/>
      <c r="H103" s="22"/>
      <c r="I103" s="22"/>
      <c r="J103" s="22"/>
    </row>
    <row r="104" spans="2:11" x14ac:dyDescent="0.25">
      <c r="B104" s="22"/>
      <c r="C104" s="22"/>
      <c r="D104" s="22"/>
      <c r="E104" s="22"/>
      <c r="F104" s="22"/>
      <c r="G104" s="22"/>
      <c r="H104" s="22"/>
      <c r="I104" s="22"/>
      <c r="J104" s="22"/>
    </row>
    <row r="105" spans="2:11" x14ac:dyDescent="0.25">
      <c r="B105" s="22"/>
      <c r="C105" s="22"/>
      <c r="D105" s="22"/>
      <c r="E105" s="22"/>
      <c r="F105" s="22"/>
      <c r="G105" s="22"/>
      <c r="H105" s="22"/>
      <c r="I105" s="22"/>
      <c r="J105" s="22"/>
    </row>
  </sheetData>
  <mergeCells count="2">
    <mergeCell ref="A2:K2"/>
    <mergeCell ref="I3:K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43" workbookViewId="0">
      <selection activeCell="O5" sqref="O5"/>
    </sheetView>
  </sheetViews>
  <sheetFormatPr baseColWidth="10" defaultRowHeight="15" x14ac:dyDescent="0.25"/>
  <cols>
    <col min="1" max="1" width="6.140625" customWidth="1"/>
    <col min="2" max="2" width="7.42578125" customWidth="1"/>
    <col min="3" max="3" width="21.85546875" customWidth="1"/>
    <col min="5" max="5" width="7.42578125" customWidth="1"/>
    <col min="6" max="6" width="8.140625" customWidth="1"/>
    <col min="7" max="7" width="8.28515625" customWidth="1"/>
    <col min="12" max="12" width="22.5703125" customWidth="1"/>
  </cols>
  <sheetData>
    <row r="1" spans="1:12" ht="15.75" x14ac:dyDescent="0.25">
      <c r="A1" s="230" t="s">
        <v>730</v>
      </c>
      <c r="B1" s="230"/>
      <c r="C1" s="231"/>
      <c r="D1" s="231"/>
      <c r="E1" s="231"/>
      <c r="F1" s="231"/>
      <c r="G1" s="231"/>
      <c r="H1" s="231"/>
      <c r="I1" s="231"/>
      <c r="J1" s="231"/>
      <c r="K1" s="231"/>
      <c r="L1" s="231"/>
    </row>
    <row r="2" spans="1:12" ht="15.75" x14ac:dyDescent="0.25">
      <c r="A2" s="232" t="s">
        <v>566</v>
      </c>
      <c r="B2" s="233"/>
      <c r="C2" s="233"/>
      <c r="D2" s="233"/>
      <c r="E2" s="61"/>
      <c r="F2" s="61"/>
      <c r="G2" s="61"/>
      <c r="H2" s="61"/>
      <c r="I2" s="61"/>
      <c r="J2" s="61"/>
      <c r="K2" s="213" t="s">
        <v>1107</v>
      </c>
      <c r="L2" s="214"/>
    </row>
    <row r="3" spans="1:12" ht="45" x14ac:dyDescent="0.25">
      <c r="A3" s="152" t="s">
        <v>0</v>
      </c>
      <c r="B3" s="153" t="s">
        <v>13</v>
      </c>
      <c r="C3" s="153" t="s">
        <v>1</v>
      </c>
      <c r="D3" s="153" t="s">
        <v>2</v>
      </c>
      <c r="E3" s="153" t="s">
        <v>3</v>
      </c>
      <c r="F3" s="153" t="s">
        <v>4</v>
      </c>
      <c r="G3" s="153" t="s">
        <v>147</v>
      </c>
      <c r="H3" s="153" t="s">
        <v>9</v>
      </c>
      <c r="I3" s="153" t="s">
        <v>6</v>
      </c>
      <c r="J3" s="153" t="s">
        <v>7</v>
      </c>
      <c r="K3" s="159" t="s">
        <v>8</v>
      </c>
      <c r="L3" s="159" t="s">
        <v>10</v>
      </c>
    </row>
    <row r="4" spans="1:12" ht="48" x14ac:dyDescent="0.25">
      <c r="A4" s="28">
        <v>1</v>
      </c>
      <c r="B4" s="28">
        <v>2012590</v>
      </c>
      <c r="C4" s="177" t="s">
        <v>1109</v>
      </c>
      <c r="D4" s="36" t="s">
        <v>396</v>
      </c>
      <c r="E4" s="56">
        <v>80</v>
      </c>
      <c r="F4" s="81" t="s">
        <v>592</v>
      </c>
      <c r="G4" s="82">
        <f>8500*4.5%+4500</f>
        <v>4882.5</v>
      </c>
      <c r="H4" s="46">
        <f>E4*G4</f>
        <v>390600</v>
      </c>
      <c r="I4" s="28" t="s">
        <v>535</v>
      </c>
      <c r="J4" s="28" t="s">
        <v>536</v>
      </c>
      <c r="K4" s="28" t="s">
        <v>40</v>
      </c>
      <c r="L4" s="28" t="s">
        <v>596</v>
      </c>
    </row>
    <row r="5" spans="1:12" ht="48" x14ac:dyDescent="0.25">
      <c r="A5" s="28">
        <v>2</v>
      </c>
      <c r="B5" s="28">
        <v>2012590</v>
      </c>
      <c r="C5" s="177" t="s">
        <v>567</v>
      </c>
      <c r="D5" s="36" t="s">
        <v>396</v>
      </c>
      <c r="E5" s="56">
        <v>80</v>
      </c>
      <c r="F5" s="81" t="s">
        <v>592</v>
      </c>
      <c r="G5" s="83">
        <f>15000*4.5%+15000</f>
        <v>15675</v>
      </c>
      <c r="H5" s="46">
        <f t="shared" ref="H5:H50" si="0">E5*G5</f>
        <v>1254000</v>
      </c>
      <c r="I5" s="28" t="s">
        <v>535</v>
      </c>
      <c r="J5" s="28" t="s">
        <v>536</v>
      </c>
      <c r="K5" s="28" t="s">
        <v>40</v>
      </c>
      <c r="L5" s="28" t="s">
        <v>596</v>
      </c>
    </row>
    <row r="6" spans="1:12" ht="48" x14ac:dyDescent="0.25">
      <c r="A6" s="28">
        <v>3</v>
      </c>
      <c r="B6" s="28">
        <v>2012590</v>
      </c>
      <c r="C6" s="177" t="s">
        <v>568</v>
      </c>
      <c r="D6" s="36" t="s">
        <v>396</v>
      </c>
      <c r="E6" s="56">
        <v>100</v>
      </c>
      <c r="F6" s="81" t="s">
        <v>593</v>
      </c>
      <c r="G6" s="83">
        <f>6500*4.5%+6500</f>
        <v>6792.5</v>
      </c>
      <c r="H6" s="46">
        <f t="shared" si="0"/>
        <v>679250</v>
      </c>
      <c r="I6" s="28" t="s">
        <v>535</v>
      </c>
      <c r="J6" s="28" t="s">
        <v>536</v>
      </c>
      <c r="K6" s="28" t="s">
        <v>40</v>
      </c>
      <c r="L6" s="28" t="s">
        <v>596</v>
      </c>
    </row>
    <row r="7" spans="1:12" ht="48" x14ac:dyDescent="0.25">
      <c r="A7" s="28">
        <v>4</v>
      </c>
      <c r="B7" s="28">
        <v>2012590</v>
      </c>
      <c r="C7" s="177" t="s">
        <v>569</v>
      </c>
      <c r="D7" s="36" t="s">
        <v>396</v>
      </c>
      <c r="E7" s="56">
        <v>10</v>
      </c>
      <c r="F7" s="81" t="s">
        <v>592</v>
      </c>
      <c r="G7" s="83">
        <f>16000*4.5%+16000</f>
        <v>16720</v>
      </c>
      <c r="H7" s="46">
        <f t="shared" si="0"/>
        <v>167200</v>
      </c>
      <c r="I7" s="28" t="s">
        <v>535</v>
      </c>
      <c r="J7" s="28" t="s">
        <v>536</v>
      </c>
      <c r="K7" s="28" t="s">
        <v>40</v>
      </c>
      <c r="L7" s="28" t="s">
        <v>596</v>
      </c>
    </row>
    <row r="8" spans="1:12" ht="48" x14ac:dyDescent="0.25">
      <c r="A8" s="28">
        <v>5</v>
      </c>
      <c r="B8" s="28">
        <v>2012590</v>
      </c>
      <c r="C8" s="177" t="s">
        <v>570</v>
      </c>
      <c r="D8" s="36" t="s">
        <v>396</v>
      </c>
      <c r="E8" s="56">
        <v>30</v>
      </c>
      <c r="F8" s="81" t="s">
        <v>592</v>
      </c>
      <c r="G8" s="83">
        <f>12000*4.5%+12000</f>
        <v>12540</v>
      </c>
      <c r="H8" s="46">
        <f t="shared" si="0"/>
        <v>376200</v>
      </c>
      <c r="I8" s="28" t="s">
        <v>535</v>
      </c>
      <c r="J8" s="28" t="s">
        <v>536</v>
      </c>
      <c r="K8" s="28" t="s">
        <v>40</v>
      </c>
      <c r="L8" s="28" t="s">
        <v>596</v>
      </c>
    </row>
    <row r="9" spans="1:12" ht="48" x14ac:dyDescent="0.25">
      <c r="A9" s="28">
        <v>6</v>
      </c>
      <c r="B9" s="28">
        <v>2012590</v>
      </c>
      <c r="C9" s="177" t="s">
        <v>571</v>
      </c>
      <c r="D9" s="36" t="s">
        <v>396</v>
      </c>
      <c r="E9" s="56">
        <v>10</v>
      </c>
      <c r="F9" s="81" t="s">
        <v>4</v>
      </c>
      <c r="G9" s="83">
        <f>20000*4.5%+20000</f>
        <v>20900</v>
      </c>
      <c r="H9" s="46">
        <f t="shared" si="0"/>
        <v>209000</v>
      </c>
      <c r="I9" s="28" t="s">
        <v>535</v>
      </c>
      <c r="J9" s="28" t="s">
        <v>536</v>
      </c>
      <c r="K9" s="28" t="s">
        <v>40</v>
      </c>
      <c r="L9" s="28" t="s">
        <v>596</v>
      </c>
    </row>
    <row r="10" spans="1:12" ht="48" x14ac:dyDescent="0.25">
      <c r="A10" s="28">
        <v>7</v>
      </c>
      <c r="B10" s="28">
        <v>2012590</v>
      </c>
      <c r="C10" s="177" t="s">
        <v>1110</v>
      </c>
      <c r="D10" s="36" t="s">
        <v>396</v>
      </c>
      <c r="E10" s="56">
        <v>50</v>
      </c>
      <c r="F10" s="81" t="s">
        <v>4</v>
      </c>
      <c r="G10" s="83">
        <f>10500*4.5%+10500</f>
        <v>10972.5</v>
      </c>
      <c r="H10" s="46">
        <f t="shared" si="0"/>
        <v>548625</v>
      </c>
      <c r="I10" s="28" t="s">
        <v>535</v>
      </c>
      <c r="J10" s="28" t="s">
        <v>536</v>
      </c>
      <c r="K10" s="28" t="s">
        <v>40</v>
      </c>
      <c r="L10" s="28" t="s">
        <v>596</v>
      </c>
    </row>
    <row r="11" spans="1:12" ht="48" x14ac:dyDescent="0.25">
      <c r="A11" s="28">
        <v>8</v>
      </c>
      <c r="B11" s="28">
        <v>2012590</v>
      </c>
      <c r="C11" s="177" t="s">
        <v>1111</v>
      </c>
      <c r="D11" s="36" t="s">
        <v>396</v>
      </c>
      <c r="E11" s="56">
        <v>10</v>
      </c>
      <c r="F11" s="81" t="s">
        <v>69</v>
      </c>
      <c r="G11" s="83">
        <f>150000*4.5%+150000</f>
        <v>156750</v>
      </c>
      <c r="H11" s="46">
        <f t="shared" si="0"/>
        <v>1567500</v>
      </c>
      <c r="I11" s="28" t="s">
        <v>535</v>
      </c>
      <c r="J11" s="28" t="s">
        <v>536</v>
      </c>
      <c r="K11" s="28" t="s">
        <v>40</v>
      </c>
      <c r="L11" s="28" t="s">
        <v>596</v>
      </c>
    </row>
    <row r="12" spans="1:12" ht="48" x14ac:dyDescent="0.25">
      <c r="A12" s="28">
        <v>9</v>
      </c>
      <c r="B12" s="28">
        <v>2012590</v>
      </c>
      <c r="C12" s="177" t="s">
        <v>1112</v>
      </c>
      <c r="D12" s="36" t="s">
        <v>396</v>
      </c>
      <c r="E12" s="56">
        <v>10</v>
      </c>
      <c r="F12" s="81" t="s">
        <v>4</v>
      </c>
      <c r="G12" s="83">
        <f>3500*4.5%+3500</f>
        <v>3657.5</v>
      </c>
      <c r="H12" s="46">
        <f t="shared" si="0"/>
        <v>36575</v>
      </c>
      <c r="I12" s="28" t="s">
        <v>535</v>
      </c>
      <c r="J12" s="28" t="s">
        <v>536</v>
      </c>
      <c r="K12" s="28" t="s">
        <v>40</v>
      </c>
      <c r="L12" s="28" t="s">
        <v>596</v>
      </c>
    </row>
    <row r="13" spans="1:12" ht="48" x14ac:dyDescent="0.25">
      <c r="A13" s="28">
        <v>10</v>
      </c>
      <c r="B13" s="28">
        <v>2012590</v>
      </c>
      <c r="C13" s="177" t="s">
        <v>572</v>
      </c>
      <c r="D13" s="36" t="s">
        <v>396</v>
      </c>
      <c r="E13" s="56">
        <v>100</v>
      </c>
      <c r="F13" s="81" t="s">
        <v>4</v>
      </c>
      <c r="G13" s="83">
        <f>400*4.5%+400</f>
        <v>418</v>
      </c>
      <c r="H13" s="46">
        <f t="shared" si="0"/>
        <v>41800</v>
      </c>
      <c r="I13" s="28" t="s">
        <v>535</v>
      </c>
      <c r="J13" s="28" t="s">
        <v>536</v>
      </c>
      <c r="K13" s="28" t="s">
        <v>40</v>
      </c>
      <c r="L13" s="28" t="s">
        <v>596</v>
      </c>
    </row>
    <row r="14" spans="1:12" ht="48" x14ac:dyDescent="0.25">
      <c r="A14" s="28">
        <v>11</v>
      </c>
      <c r="B14" s="28">
        <v>2012590</v>
      </c>
      <c r="C14" s="177" t="s">
        <v>573</v>
      </c>
      <c r="D14" s="36" t="s">
        <v>396</v>
      </c>
      <c r="E14" s="56">
        <v>10</v>
      </c>
      <c r="F14" s="81" t="s">
        <v>4</v>
      </c>
      <c r="G14" s="83">
        <f>8000*4.5%+8000</f>
        <v>8360</v>
      </c>
      <c r="H14" s="46">
        <f t="shared" si="0"/>
        <v>83600</v>
      </c>
      <c r="I14" s="28" t="s">
        <v>535</v>
      </c>
      <c r="J14" s="28" t="s">
        <v>536</v>
      </c>
      <c r="K14" s="28" t="s">
        <v>40</v>
      </c>
      <c r="L14" s="28" t="s">
        <v>596</v>
      </c>
    </row>
    <row r="15" spans="1:12" ht="48" x14ac:dyDescent="0.25">
      <c r="A15" s="28">
        <v>12</v>
      </c>
      <c r="B15" s="28">
        <v>2012590</v>
      </c>
      <c r="C15" s="177" t="s">
        <v>1113</v>
      </c>
      <c r="D15" s="36" t="s">
        <v>396</v>
      </c>
      <c r="E15" s="56">
        <v>20</v>
      </c>
      <c r="F15" s="81" t="s">
        <v>592</v>
      </c>
      <c r="G15" s="83">
        <f>15000*4.5%+158000</f>
        <v>158675</v>
      </c>
      <c r="H15" s="46">
        <f t="shared" si="0"/>
        <v>3173500</v>
      </c>
      <c r="I15" s="28" t="s">
        <v>535</v>
      </c>
      <c r="J15" s="28" t="s">
        <v>536</v>
      </c>
      <c r="K15" s="28" t="s">
        <v>40</v>
      </c>
      <c r="L15" s="28" t="s">
        <v>596</v>
      </c>
    </row>
    <row r="16" spans="1:12" ht="48" x14ac:dyDescent="0.25">
      <c r="A16" s="28">
        <v>13</v>
      </c>
      <c r="B16" s="28">
        <v>2012590</v>
      </c>
      <c r="C16" s="177" t="s">
        <v>574</v>
      </c>
      <c r="D16" s="36" t="s">
        <v>396</v>
      </c>
      <c r="E16" s="56">
        <v>10</v>
      </c>
      <c r="F16" s="81" t="s">
        <v>4</v>
      </c>
      <c r="G16" s="83">
        <f>4000*4.5%+4000</f>
        <v>4180</v>
      </c>
      <c r="H16" s="46">
        <f t="shared" si="0"/>
        <v>41800</v>
      </c>
      <c r="I16" s="28" t="s">
        <v>535</v>
      </c>
      <c r="J16" s="28" t="s">
        <v>536</v>
      </c>
      <c r="K16" s="28" t="s">
        <v>40</v>
      </c>
      <c r="L16" s="28" t="s">
        <v>596</v>
      </c>
    </row>
    <row r="17" spans="1:12" ht="48" x14ac:dyDescent="0.25">
      <c r="A17" s="28">
        <v>14</v>
      </c>
      <c r="B17" s="28">
        <v>2012590</v>
      </c>
      <c r="C17" s="177" t="s">
        <v>575</v>
      </c>
      <c r="D17" s="36" t="s">
        <v>396</v>
      </c>
      <c r="E17" s="56">
        <v>10</v>
      </c>
      <c r="F17" s="81" t="s">
        <v>4</v>
      </c>
      <c r="G17" s="83">
        <f>3500*4.5%+3500</f>
        <v>3657.5</v>
      </c>
      <c r="H17" s="46">
        <f t="shared" si="0"/>
        <v>36575</v>
      </c>
      <c r="I17" s="28" t="s">
        <v>535</v>
      </c>
      <c r="J17" s="28" t="s">
        <v>536</v>
      </c>
      <c r="K17" s="28" t="s">
        <v>40</v>
      </c>
      <c r="L17" s="28" t="s">
        <v>596</v>
      </c>
    </row>
    <row r="18" spans="1:12" ht="48" x14ac:dyDescent="0.25">
      <c r="A18" s="28">
        <v>15</v>
      </c>
      <c r="B18" s="28">
        <v>2012590</v>
      </c>
      <c r="C18" s="177" t="s">
        <v>1114</v>
      </c>
      <c r="D18" s="36" t="s">
        <v>396</v>
      </c>
      <c r="E18" s="56">
        <v>10</v>
      </c>
      <c r="F18" s="81" t="s">
        <v>4</v>
      </c>
      <c r="G18" s="83">
        <f>2500*4.5%+2500</f>
        <v>2612.5</v>
      </c>
      <c r="H18" s="46">
        <f t="shared" si="0"/>
        <v>26125</v>
      </c>
      <c r="I18" s="28" t="s">
        <v>535</v>
      </c>
      <c r="J18" s="28" t="s">
        <v>536</v>
      </c>
      <c r="K18" s="28" t="s">
        <v>40</v>
      </c>
      <c r="L18" s="28" t="s">
        <v>596</v>
      </c>
    </row>
    <row r="19" spans="1:12" ht="48" x14ac:dyDescent="0.25">
      <c r="A19" s="28">
        <v>16</v>
      </c>
      <c r="B19" s="28">
        <v>2012590</v>
      </c>
      <c r="C19" s="177" t="s">
        <v>1108</v>
      </c>
      <c r="D19" s="36" t="s">
        <v>396</v>
      </c>
      <c r="E19" s="56">
        <v>10</v>
      </c>
      <c r="F19" s="81" t="s">
        <v>4</v>
      </c>
      <c r="G19" s="83">
        <f>8000*4.5%+8000</f>
        <v>8360</v>
      </c>
      <c r="H19" s="46">
        <f t="shared" si="0"/>
        <v>83600</v>
      </c>
      <c r="I19" s="28" t="s">
        <v>535</v>
      </c>
      <c r="J19" s="28" t="s">
        <v>536</v>
      </c>
      <c r="K19" s="28" t="s">
        <v>40</v>
      </c>
      <c r="L19" s="28" t="s">
        <v>596</v>
      </c>
    </row>
    <row r="20" spans="1:12" ht="48" x14ac:dyDescent="0.25">
      <c r="A20" s="28">
        <v>17</v>
      </c>
      <c r="B20" s="28">
        <v>2012590</v>
      </c>
      <c r="C20" s="177" t="s">
        <v>576</v>
      </c>
      <c r="D20" s="36" t="s">
        <v>396</v>
      </c>
      <c r="E20" s="56">
        <v>10</v>
      </c>
      <c r="F20" s="81" t="s">
        <v>4</v>
      </c>
      <c r="G20" s="83">
        <f>6500*4.5%+6500</f>
        <v>6792.5</v>
      </c>
      <c r="H20" s="46">
        <f t="shared" si="0"/>
        <v>67925</v>
      </c>
      <c r="I20" s="28" t="s">
        <v>535</v>
      </c>
      <c r="J20" s="28" t="s">
        <v>536</v>
      </c>
      <c r="K20" s="28" t="s">
        <v>40</v>
      </c>
      <c r="L20" s="28" t="s">
        <v>596</v>
      </c>
    </row>
    <row r="21" spans="1:12" ht="48" x14ac:dyDescent="0.25">
      <c r="A21" s="28">
        <v>18</v>
      </c>
      <c r="B21" s="28">
        <v>2012590</v>
      </c>
      <c r="C21" s="177" t="s">
        <v>1115</v>
      </c>
      <c r="D21" s="36" t="s">
        <v>396</v>
      </c>
      <c r="E21" s="56">
        <v>10</v>
      </c>
      <c r="F21" s="81" t="s">
        <v>594</v>
      </c>
      <c r="G21" s="83">
        <f>64700*4.5%+64700</f>
        <v>67611.5</v>
      </c>
      <c r="H21" s="46">
        <f t="shared" si="0"/>
        <v>676115</v>
      </c>
      <c r="I21" s="28" t="s">
        <v>535</v>
      </c>
      <c r="J21" s="28" t="s">
        <v>536</v>
      </c>
      <c r="K21" s="28" t="s">
        <v>40</v>
      </c>
      <c r="L21" s="28" t="s">
        <v>596</v>
      </c>
    </row>
    <row r="22" spans="1:12" ht="48" x14ac:dyDescent="0.25">
      <c r="A22" s="28">
        <v>19</v>
      </c>
      <c r="B22" s="28">
        <v>2012590</v>
      </c>
      <c r="C22" s="177" t="s">
        <v>1116</v>
      </c>
      <c r="D22" s="36" t="s">
        <v>396</v>
      </c>
      <c r="E22" s="56">
        <v>10</v>
      </c>
      <c r="F22" s="81" t="s">
        <v>4</v>
      </c>
      <c r="G22" s="83">
        <f>6245*4.5%+9245</f>
        <v>9526.0249999999996</v>
      </c>
      <c r="H22" s="46">
        <f t="shared" si="0"/>
        <v>95260.25</v>
      </c>
      <c r="I22" s="28" t="s">
        <v>535</v>
      </c>
      <c r="J22" s="28" t="s">
        <v>536</v>
      </c>
      <c r="K22" s="28" t="s">
        <v>40</v>
      </c>
      <c r="L22" s="28" t="s">
        <v>596</v>
      </c>
    </row>
    <row r="23" spans="1:12" ht="48" x14ac:dyDescent="0.25">
      <c r="A23" s="28">
        <v>20</v>
      </c>
      <c r="B23" s="28">
        <v>2012590</v>
      </c>
      <c r="C23" s="178" t="s">
        <v>577</v>
      </c>
      <c r="D23" s="36" t="s">
        <v>396</v>
      </c>
      <c r="E23" s="56">
        <v>10</v>
      </c>
      <c r="F23" s="81" t="s">
        <v>4</v>
      </c>
      <c r="G23" s="83">
        <v>5250</v>
      </c>
      <c r="H23" s="46">
        <f t="shared" si="0"/>
        <v>52500</v>
      </c>
      <c r="I23" s="28" t="s">
        <v>535</v>
      </c>
      <c r="J23" s="28" t="s">
        <v>536</v>
      </c>
      <c r="K23" s="28" t="s">
        <v>40</v>
      </c>
      <c r="L23" s="28" t="s">
        <v>596</v>
      </c>
    </row>
    <row r="24" spans="1:12" ht="48" x14ac:dyDescent="0.25">
      <c r="A24" s="28">
        <v>21</v>
      </c>
      <c r="B24" s="28">
        <v>2012590</v>
      </c>
      <c r="C24" s="177" t="s">
        <v>1117</v>
      </c>
      <c r="D24" s="36" t="s">
        <v>396</v>
      </c>
      <c r="E24" s="56">
        <v>10</v>
      </c>
      <c r="F24" s="81" t="s">
        <v>4</v>
      </c>
      <c r="G24" s="83">
        <v>8800</v>
      </c>
      <c r="H24" s="46">
        <f t="shared" si="0"/>
        <v>88000</v>
      </c>
      <c r="I24" s="28" t="s">
        <v>535</v>
      </c>
      <c r="J24" s="28" t="s">
        <v>536</v>
      </c>
      <c r="K24" s="28" t="s">
        <v>40</v>
      </c>
      <c r="L24" s="28" t="s">
        <v>596</v>
      </c>
    </row>
    <row r="25" spans="1:12" ht="48" x14ac:dyDescent="0.25">
      <c r="A25" s="28">
        <v>22</v>
      </c>
      <c r="B25" s="28">
        <v>2012590</v>
      </c>
      <c r="C25" s="177" t="s">
        <v>578</v>
      </c>
      <c r="D25" s="36" t="s">
        <v>396</v>
      </c>
      <c r="E25" s="56">
        <v>10</v>
      </c>
      <c r="F25" s="81" t="s">
        <v>595</v>
      </c>
      <c r="G25" s="83">
        <v>6800</v>
      </c>
      <c r="H25" s="46">
        <f t="shared" si="0"/>
        <v>68000</v>
      </c>
      <c r="I25" s="28" t="s">
        <v>535</v>
      </c>
      <c r="J25" s="28" t="s">
        <v>536</v>
      </c>
      <c r="K25" s="28" t="s">
        <v>40</v>
      </c>
      <c r="L25" s="28" t="s">
        <v>596</v>
      </c>
    </row>
    <row r="26" spans="1:12" ht="48" x14ac:dyDescent="0.25">
      <c r="A26" s="28">
        <v>23</v>
      </c>
      <c r="B26" s="28">
        <v>2012590</v>
      </c>
      <c r="C26" s="177" t="s">
        <v>579</v>
      </c>
      <c r="D26" s="36" t="s">
        <v>396</v>
      </c>
      <c r="E26" s="56">
        <v>10</v>
      </c>
      <c r="F26" s="81" t="s">
        <v>595</v>
      </c>
      <c r="G26" s="83">
        <v>6800</v>
      </c>
      <c r="H26" s="46">
        <f t="shared" si="0"/>
        <v>68000</v>
      </c>
      <c r="I26" s="28" t="s">
        <v>535</v>
      </c>
      <c r="J26" s="28" t="s">
        <v>536</v>
      </c>
      <c r="K26" s="28" t="s">
        <v>40</v>
      </c>
      <c r="L26" s="28" t="s">
        <v>596</v>
      </c>
    </row>
    <row r="27" spans="1:12" ht="48" x14ac:dyDescent="0.25">
      <c r="A27" s="28">
        <v>24</v>
      </c>
      <c r="B27" s="28">
        <v>2012590</v>
      </c>
      <c r="C27" s="177" t="s">
        <v>580</v>
      </c>
      <c r="D27" s="36" t="s">
        <v>396</v>
      </c>
      <c r="E27" s="56">
        <v>100</v>
      </c>
      <c r="F27" s="81" t="s">
        <v>98</v>
      </c>
      <c r="G27" s="83">
        <v>4800</v>
      </c>
      <c r="H27" s="46">
        <f t="shared" si="0"/>
        <v>480000</v>
      </c>
      <c r="I27" s="28" t="s">
        <v>535</v>
      </c>
      <c r="J27" s="28" t="s">
        <v>536</v>
      </c>
      <c r="K27" s="28" t="s">
        <v>40</v>
      </c>
      <c r="L27" s="28" t="s">
        <v>596</v>
      </c>
    </row>
    <row r="28" spans="1:12" ht="48" x14ac:dyDescent="0.25">
      <c r="A28" s="28">
        <v>25</v>
      </c>
      <c r="B28" s="28">
        <v>2012590</v>
      </c>
      <c r="C28" s="177" t="s">
        <v>581</v>
      </c>
      <c r="D28" s="36" t="s">
        <v>396</v>
      </c>
      <c r="E28" s="56">
        <v>10</v>
      </c>
      <c r="F28" s="81" t="s">
        <v>98</v>
      </c>
      <c r="G28" s="83">
        <v>8900</v>
      </c>
      <c r="H28" s="46">
        <f t="shared" si="0"/>
        <v>89000</v>
      </c>
      <c r="I28" s="28" t="s">
        <v>535</v>
      </c>
      <c r="J28" s="28" t="s">
        <v>536</v>
      </c>
      <c r="K28" s="28" t="s">
        <v>40</v>
      </c>
      <c r="L28" s="28" t="s">
        <v>596</v>
      </c>
    </row>
    <row r="29" spans="1:12" ht="48" x14ac:dyDescent="0.25">
      <c r="A29" s="28">
        <v>26</v>
      </c>
      <c r="B29" s="28">
        <v>2012590</v>
      </c>
      <c r="C29" s="177" t="s">
        <v>1118</v>
      </c>
      <c r="D29" s="36" t="s">
        <v>396</v>
      </c>
      <c r="E29" s="56">
        <v>10</v>
      </c>
      <c r="F29" s="81" t="s">
        <v>4</v>
      </c>
      <c r="G29" s="83">
        <f>11000*4.5%+11000</f>
        <v>11495</v>
      </c>
      <c r="H29" s="46">
        <f t="shared" si="0"/>
        <v>114950</v>
      </c>
      <c r="I29" s="28" t="s">
        <v>535</v>
      </c>
      <c r="J29" s="28" t="s">
        <v>536</v>
      </c>
      <c r="K29" s="28" t="s">
        <v>40</v>
      </c>
      <c r="L29" s="28" t="s">
        <v>596</v>
      </c>
    </row>
    <row r="30" spans="1:12" ht="48" x14ac:dyDescent="0.25">
      <c r="A30" s="28">
        <v>27</v>
      </c>
      <c r="B30" s="28">
        <v>2012590</v>
      </c>
      <c r="C30" s="177" t="s">
        <v>582</v>
      </c>
      <c r="D30" s="36" t="s">
        <v>396</v>
      </c>
      <c r="E30" s="56">
        <v>10</v>
      </c>
      <c r="F30" s="81" t="s">
        <v>4</v>
      </c>
      <c r="G30" s="83">
        <v>2590</v>
      </c>
      <c r="H30" s="46">
        <f t="shared" si="0"/>
        <v>25900</v>
      </c>
      <c r="I30" s="28" t="s">
        <v>535</v>
      </c>
      <c r="J30" s="28" t="s">
        <v>536</v>
      </c>
      <c r="K30" s="28" t="s">
        <v>40</v>
      </c>
      <c r="L30" s="28" t="s">
        <v>596</v>
      </c>
    </row>
    <row r="31" spans="1:12" ht="48" x14ac:dyDescent="0.25">
      <c r="A31" s="28">
        <v>28</v>
      </c>
      <c r="B31" s="28">
        <v>2012590</v>
      </c>
      <c r="C31" s="177" t="s">
        <v>583</v>
      </c>
      <c r="D31" s="36" t="s">
        <v>396</v>
      </c>
      <c r="E31" s="56">
        <v>10</v>
      </c>
      <c r="F31" s="81" t="s">
        <v>4</v>
      </c>
      <c r="G31" s="83">
        <v>6240</v>
      </c>
      <c r="H31" s="46">
        <f t="shared" si="0"/>
        <v>62400</v>
      </c>
      <c r="I31" s="28" t="s">
        <v>535</v>
      </c>
      <c r="J31" s="28" t="s">
        <v>536</v>
      </c>
      <c r="K31" s="28" t="s">
        <v>40</v>
      </c>
      <c r="L31" s="28" t="s">
        <v>596</v>
      </c>
    </row>
    <row r="32" spans="1:12" ht="48" x14ac:dyDescent="0.25">
      <c r="A32" s="28">
        <v>29</v>
      </c>
      <c r="B32" s="28">
        <v>2012590</v>
      </c>
      <c r="C32" s="177" t="s">
        <v>1119</v>
      </c>
      <c r="D32" s="36" t="s">
        <v>396</v>
      </c>
      <c r="E32" s="56">
        <v>10</v>
      </c>
      <c r="F32" s="81" t="s">
        <v>592</v>
      </c>
      <c r="G32" s="83">
        <v>18500</v>
      </c>
      <c r="H32" s="46">
        <f t="shared" si="0"/>
        <v>185000</v>
      </c>
      <c r="I32" s="28" t="s">
        <v>535</v>
      </c>
      <c r="J32" s="28" t="s">
        <v>536</v>
      </c>
      <c r="K32" s="28" t="s">
        <v>40</v>
      </c>
      <c r="L32" s="28" t="s">
        <v>596</v>
      </c>
    </row>
    <row r="33" spans="1:14" ht="48" x14ac:dyDescent="0.25">
      <c r="A33" s="28">
        <v>30</v>
      </c>
      <c r="B33" s="28">
        <v>2012590</v>
      </c>
      <c r="C33" s="177" t="s">
        <v>584</v>
      </c>
      <c r="D33" s="36" t="s">
        <v>396</v>
      </c>
      <c r="E33" s="56">
        <v>10</v>
      </c>
      <c r="F33" s="81" t="s">
        <v>4</v>
      </c>
      <c r="G33" s="83">
        <f>180000*4.5%+180000</f>
        <v>188100</v>
      </c>
      <c r="H33" s="46">
        <f t="shared" si="0"/>
        <v>1881000</v>
      </c>
      <c r="I33" s="28" t="s">
        <v>535</v>
      </c>
      <c r="J33" s="28" t="s">
        <v>536</v>
      </c>
      <c r="K33" s="28" t="s">
        <v>40</v>
      </c>
      <c r="L33" s="28" t="s">
        <v>596</v>
      </c>
    </row>
    <row r="34" spans="1:14" ht="48" x14ac:dyDescent="0.25">
      <c r="A34" s="28">
        <v>31</v>
      </c>
      <c r="B34" s="28">
        <v>2012590</v>
      </c>
      <c r="C34" s="177" t="s">
        <v>585</v>
      </c>
      <c r="D34" s="36" t="s">
        <v>396</v>
      </c>
      <c r="E34" s="56">
        <v>10</v>
      </c>
      <c r="F34" s="81" t="s">
        <v>4</v>
      </c>
      <c r="G34" s="83">
        <v>2590</v>
      </c>
      <c r="H34" s="46">
        <f t="shared" si="0"/>
        <v>25900</v>
      </c>
      <c r="I34" s="28" t="s">
        <v>535</v>
      </c>
      <c r="J34" s="28" t="s">
        <v>536</v>
      </c>
      <c r="K34" s="28" t="s">
        <v>40</v>
      </c>
      <c r="L34" s="28" t="s">
        <v>596</v>
      </c>
    </row>
    <row r="35" spans="1:14" ht="48" x14ac:dyDescent="0.25">
      <c r="A35" s="28">
        <v>32</v>
      </c>
      <c r="B35" s="28">
        <v>2012590</v>
      </c>
      <c r="C35" s="177" t="s">
        <v>586</v>
      </c>
      <c r="D35" s="36" t="s">
        <v>396</v>
      </c>
      <c r="E35" s="56">
        <v>10</v>
      </c>
      <c r="F35" s="81" t="s">
        <v>4</v>
      </c>
      <c r="G35" s="83">
        <v>16600</v>
      </c>
      <c r="H35" s="46">
        <f t="shared" si="0"/>
        <v>166000</v>
      </c>
      <c r="I35" s="28" t="s">
        <v>535</v>
      </c>
      <c r="J35" s="28" t="s">
        <v>536</v>
      </c>
      <c r="K35" s="28" t="s">
        <v>40</v>
      </c>
      <c r="L35" s="28" t="s">
        <v>596</v>
      </c>
    </row>
    <row r="36" spans="1:14" ht="48" x14ac:dyDescent="0.25">
      <c r="A36" s="28">
        <v>33</v>
      </c>
      <c r="B36" s="28">
        <v>2012590</v>
      </c>
      <c r="C36" s="177" t="s">
        <v>1120</v>
      </c>
      <c r="D36" s="36" t="s">
        <v>396</v>
      </c>
      <c r="E36" s="56">
        <v>10</v>
      </c>
      <c r="F36" s="81" t="s">
        <v>594</v>
      </c>
      <c r="G36" s="83">
        <v>29800</v>
      </c>
      <c r="H36" s="46">
        <f t="shared" si="0"/>
        <v>298000</v>
      </c>
      <c r="I36" s="28" t="s">
        <v>535</v>
      </c>
      <c r="J36" s="28" t="s">
        <v>536</v>
      </c>
      <c r="K36" s="28" t="s">
        <v>40</v>
      </c>
      <c r="L36" s="28" t="s">
        <v>596</v>
      </c>
    </row>
    <row r="37" spans="1:14" ht="48" x14ac:dyDescent="0.25">
      <c r="A37" s="28">
        <v>34</v>
      </c>
      <c r="B37" s="28">
        <v>2012590</v>
      </c>
      <c r="C37" s="177" t="s">
        <v>1121</v>
      </c>
      <c r="D37" s="36" t="s">
        <v>396</v>
      </c>
      <c r="E37" s="56">
        <v>10</v>
      </c>
      <c r="F37" s="81" t="s">
        <v>69</v>
      </c>
      <c r="G37" s="83">
        <v>9000</v>
      </c>
      <c r="H37" s="46">
        <f t="shared" si="0"/>
        <v>90000</v>
      </c>
      <c r="I37" s="28" t="s">
        <v>535</v>
      </c>
      <c r="J37" s="28" t="s">
        <v>536</v>
      </c>
      <c r="K37" s="28" t="s">
        <v>40</v>
      </c>
      <c r="L37" s="28" t="s">
        <v>596</v>
      </c>
    </row>
    <row r="38" spans="1:14" ht="48" x14ac:dyDescent="0.25">
      <c r="A38" s="28">
        <v>35</v>
      </c>
      <c r="B38" s="28">
        <v>2012590</v>
      </c>
      <c r="C38" s="177" t="s">
        <v>1122</v>
      </c>
      <c r="D38" s="36" t="s">
        <v>396</v>
      </c>
      <c r="E38" s="56">
        <v>10</v>
      </c>
      <c r="F38" s="85" t="s">
        <v>69</v>
      </c>
      <c r="G38" s="83">
        <v>9000</v>
      </c>
      <c r="H38" s="46">
        <f t="shared" si="0"/>
        <v>90000</v>
      </c>
      <c r="I38" s="28" t="s">
        <v>535</v>
      </c>
      <c r="J38" s="28" t="s">
        <v>536</v>
      </c>
      <c r="K38" s="28" t="s">
        <v>40</v>
      </c>
      <c r="L38" s="28" t="s">
        <v>596</v>
      </c>
    </row>
    <row r="39" spans="1:14" ht="48" x14ac:dyDescent="0.25">
      <c r="A39" s="28">
        <v>36</v>
      </c>
      <c r="B39" s="28">
        <v>2012590</v>
      </c>
      <c r="C39" s="177" t="s">
        <v>1123</v>
      </c>
      <c r="D39" s="36" t="s">
        <v>396</v>
      </c>
      <c r="E39" s="56">
        <v>10</v>
      </c>
      <c r="F39" s="84" t="s">
        <v>69</v>
      </c>
      <c r="G39" s="83">
        <f>265000*4.5%+265000</f>
        <v>276925</v>
      </c>
      <c r="H39" s="46">
        <f t="shared" si="0"/>
        <v>2769250</v>
      </c>
      <c r="I39" s="28" t="s">
        <v>535</v>
      </c>
      <c r="J39" s="28" t="s">
        <v>536</v>
      </c>
      <c r="K39" s="28" t="s">
        <v>40</v>
      </c>
      <c r="L39" s="28" t="s">
        <v>596</v>
      </c>
    </row>
    <row r="40" spans="1:14" ht="48" x14ac:dyDescent="0.25">
      <c r="A40" s="28">
        <v>37</v>
      </c>
      <c r="B40" s="28">
        <v>2012590</v>
      </c>
      <c r="C40" s="177" t="s">
        <v>1124</v>
      </c>
      <c r="D40" s="36" t="s">
        <v>396</v>
      </c>
      <c r="E40" s="56">
        <v>10</v>
      </c>
      <c r="F40" s="81" t="s">
        <v>69</v>
      </c>
      <c r="G40" s="83">
        <f>250800</f>
        <v>250800</v>
      </c>
      <c r="H40" s="46">
        <f t="shared" si="0"/>
        <v>2508000</v>
      </c>
      <c r="I40" s="28" t="s">
        <v>535</v>
      </c>
      <c r="J40" s="28" t="s">
        <v>536</v>
      </c>
      <c r="K40" s="28" t="s">
        <v>40</v>
      </c>
      <c r="L40" s="28" t="s">
        <v>596</v>
      </c>
      <c r="N40" t="s">
        <v>12</v>
      </c>
    </row>
    <row r="41" spans="1:14" ht="48" x14ac:dyDescent="0.25">
      <c r="A41" s="28">
        <v>38</v>
      </c>
      <c r="B41" s="28">
        <v>2012590</v>
      </c>
      <c r="C41" s="177" t="s">
        <v>587</v>
      </c>
      <c r="D41" s="36" t="s">
        <v>396</v>
      </c>
      <c r="E41" s="56">
        <v>10</v>
      </c>
      <c r="F41" s="81" t="s">
        <v>4</v>
      </c>
      <c r="G41" s="83">
        <v>73000</v>
      </c>
      <c r="H41" s="46">
        <f t="shared" si="0"/>
        <v>730000</v>
      </c>
      <c r="I41" s="28" t="s">
        <v>535</v>
      </c>
      <c r="J41" s="28" t="s">
        <v>536</v>
      </c>
      <c r="K41" s="28" t="s">
        <v>40</v>
      </c>
      <c r="L41" s="28" t="s">
        <v>596</v>
      </c>
      <c r="N41" t="s">
        <v>12</v>
      </c>
    </row>
    <row r="42" spans="1:14" ht="48" x14ac:dyDescent="0.25">
      <c r="A42" s="28">
        <v>39</v>
      </c>
      <c r="B42" s="28">
        <v>2012590</v>
      </c>
      <c r="C42" s="177" t="s">
        <v>1125</v>
      </c>
      <c r="D42" s="36" t="s">
        <v>396</v>
      </c>
      <c r="E42" s="56">
        <v>10</v>
      </c>
      <c r="F42" s="81" t="s">
        <v>4</v>
      </c>
      <c r="G42" s="83">
        <f>155000*4.5%+155000</f>
        <v>161975</v>
      </c>
      <c r="H42" s="46">
        <f t="shared" si="0"/>
        <v>1619750</v>
      </c>
      <c r="I42" s="28" t="s">
        <v>535</v>
      </c>
      <c r="J42" s="28" t="s">
        <v>536</v>
      </c>
      <c r="K42" s="28" t="s">
        <v>40</v>
      </c>
      <c r="L42" s="28" t="s">
        <v>596</v>
      </c>
    </row>
    <row r="43" spans="1:14" ht="48" x14ac:dyDescent="0.25">
      <c r="A43" s="28">
        <v>40</v>
      </c>
      <c r="B43" s="28">
        <v>2012590</v>
      </c>
      <c r="C43" s="177" t="s">
        <v>588</v>
      </c>
      <c r="D43" s="36" t="s">
        <v>396</v>
      </c>
      <c r="E43" s="56">
        <v>10</v>
      </c>
      <c r="F43" s="81" t="s">
        <v>98</v>
      </c>
      <c r="G43" s="83">
        <f>1200*4.5%+1200</f>
        <v>1254</v>
      </c>
      <c r="H43" s="46">
        <f t="shared" si="0"/>
        <v>12540</v>
      </c>
      <c r="I43" s="28" t="s">
        <v>535</v>
      </c>
      <c r="J43" s="28" t="s">
        <v>536</v>
      </c>
      <c r="K43" s="28" t="s">
        <v>40</v>
      </c>
      <c r="L43" s="28" t="s">
        <v>596</v>
      </c>
    </row>
    <row r="44" spans="1:14" ht="48" x14ac:dyDescent="0.25">
      <c r="A44" s="28">
        <v>41</v>
      </c>
      <c r="B44" s="28">
        <v>2012590</v>
      </c>
      <c r="C44" s="177" t="s">
        <v>1126</v>
      </c>
      <c r="D44" s="36" t="s">
        <v>396</v>
      </c>
      <c r="E44" s="56">
        <v>8</v>
      </c>
      <c r="F44" s="81" t="s">
        <v>4</v>
      </c>
      <c r="G44" s="83">
        <f>15675-573.75</f>
        <v>15101.25</v>
      </c>
      <c r="H44" s="46">
        <f t="shared" si="0"/>
        <v>120810</v>
      </c>
      <c r="I44" s="28" t="s">
        <v>535</v>
      </c>
      <c r="J44" s="28" t="s">
        <v>536</v>
      </c>
      <c r="K44" s="28" t="s">
        <v>40</v>
      </c>
      <c r="L44" s="28" t="s">
        <v>596</v>
      </c>
      <c r="M44" t="s">
        <v>12</v>
      </c>
    </row>
    <row r="45" spans="1:14" ht="48" x14ac:dyDescent="0.25">
      <c r="A45" s="28">
        <v>42</v>
      </c>
      <c r="B45" s="28"/>
      <c r="C45" s="177" t="s">
        <v>1127</v>
      </c>
      <c r="D45" s="36" t="s">
        <v>396</v>
      </c>
      <c r="E45" s="56">
        <v>10</v>
      </c>
      <c r="F45" s="81" t="s">
        <v>4</v>
      </c>
      <c r="G45" s="83">
        <f>90000*4.5%+90000</f>
        <v>94050</v>
      </c>
      <c r="H45" s="46">
        <f t="shared" si="0"/>
        <v>940500</v>
      </c>
      <c r="I45" s="28" t="s">
        <v>535</v>
      </c>
      <c r="J45" s="28" t="s">
        <v>536</v>
      </c>
      <c r="K45" s="28" t="s">
        <v>40</v>
      </c>
      <c r="L45" s="28" t="s">
        <v>596</v>
      </c>
      <c r="M45" t="s">
        <v>12</v>
      </c>
    </row>
    <row r="46" spans="1:14" ht="48" x14ac:dyDescent="0.25">
      <c r="A46" s="28">
        <v>43</v>
      </c>
      <c r="B46" s="28"/>
      <c r="C46" s="177" t="s">
        <v>589</v>
      </c>
      <c r="D46" s="36" t="s">
        <v>396</v>
      </c>
      <c r="E46" s="56">
        <v>15</v>
      </c>
      <c r="F46" s="81" t="s">
        <v>4</v>
      </c>
      <c r="G46" s="83">
        <f>22000*4.5%+22000</f>
        <v>22990</v>
      </c>
      <c r="H46" s="46">
        <f t="shared" si="0"/>
        <v>344850</v>
      </c>
      <c r="I46" s="28" t="s">
        <v>535</v>
      </c>
      <c r="J46" s="28" t="s">
        <v>536</v>
      </c>
      <c r="K46" s="28" t="s">
        <v>40</v>
      </c>
      <c r="L46" s="28" t="s">
        <v>596</v>
      </c>
    </row>
    <row r="47" spans="1:14" ht="48" x14ac:dyDescent="0.25">
      <c r="A47" s="28">
        <v>44</v>
      </c>
      <c r="B47" s="28"/>
      <c r="C47" s="177" t="s">
        <v>590</v>
      </c>
      <c r="D47" s="36" t="s">
        <v>396</v>
      </c>
      <c r="E47" s="56">
        <v>10</v>
      </c>
      <c r="F47" s="81" t="s">
        <v>4</v>
      </c>
      <c r="G47" s="83">
        <f>60000*4.5%+600000</f>
        <v>602700</v>
      </c>
      <c r="H47" s="46">
        <f t="shared" si="0"/>
        <v>6027000</v>
      </c>
      <c r="I47" s="28" t="s">
        <v>535</v>
      </c>
      <c r="J47" s="28" t="s">
        <v>536</v>
      </c>
      <c r="K47" s="28" t="s">
        <v>40</v>
      </c>
      <c r="L47" s="28" t="s">
        <v>596</v>
      </c>
    </row>
    <row r="48" spans="1:14" ht="48" x14ac:dyDescent="0.25">
      <c r="A48" s="28">
        <v>45</v>
      </c>
      <c r="B48" s="28"/>
      <c r="C48" s="177" t="s">
        <v>1128</v>
      </c>
      <c r="D48" s="36" t="s">
        <v>396</v>
      </c>
      <c r="E48" s="56">
        <v>10</v>
      </c>
      <c r="F48" s="81" t="s">
        <v>4</v>
      </c>
      <c r="G48" s="83">
        <v>2090</v>
      </c>
      <c r="H48" s="46">
        <f t="shared" si="0"/>
        <v>20900</v>
      </c>
      <c r="I48" s="28" t="s">
        <v>535</v>
      </c>
      <c r="J48" s="28" t="s">
        <v>536</v>
      </c>
      <c r="K48" s="28" t="s">
        <v>40</v>
      </c>
      <c r="L48" s="28" t="s">
        <v>596</v>
      </c>
    </row>
    <row r="49" spans="1:12" ht="48" x14ac:dyDescent="0.25">
      <c r="A49" s="28">
        <v>46</v>
      </c>
      <c r="B49" s="28"/>
      <c r="C49" s="177" t="s">
        <v>1129</v>
      </c>
      <c r="D49" s="36" t="s">
        <v>396</v>
      </c>
      <c r="E49" s="56">
        <v>100</v>
      </c>
      <c r="F49" s="81" t="s">
        <v>4</v>
      </c>
      <c r="G49" s="83">
        <v>4165</v>
      </c>
      <c r="H49" s="46">
        <f t="shared" si="0"/>
        <v>416500</v>
      </c>
      <c r="I49" s="28" t="s">
        <v>535</v>
      </c>
      <c r="J49" s="28" t="s">
        <v>536</v>
      </c>
      <c r="K49" s="28" t="s">
        <v>40</v>
      </c>
      <c r="L49" s="28" t="s">
        <v>596</v>
      </c>
    </row>
    <row r="50" spans="1:12" ht="48" x14ac:dyDescent="0.25">
      <c r="A50" s="28">
        <v>47</v>
      </c>
      <c r="B50" s="28"/>
      <c r="C50" s="177" t="s">
        <v>591</v>
      </c>
      <c r="D50" s="36" t="s">
        <v>396</v>
      </c>
      <c r="E50" s="56">
        <v>100</v>
      </c>
      <c r="F50" s="81" t="s">
        <v>4</v>
      </c>
      <c r="G50" s="83">
        <v>11500</v>
      </c>
      <c r="H50" s="46">
        <f t="shared" si="0"/>
        <v>1150000</v>
      </c>
      <c r="I50" s="28" t="s">
        <v>535</v>
      </c>
      <c r="J50" s="28" t="s">
        <v>536</v>
      </c>
      <c r="K50" s="28" t="s">
        <v>40</v>
      </c>
      <c r="L50" s="28" t="s">
        <v>596</v>
      </c>
    </row>
    <row r="51" spans="1:12" x14ac:dyDescent="0.25">
      <c r="A51" s="10"/>
      <c r="B51" s="10"/>
      <c r="C51" s="10"/>
      <c r="D51" s="101"/>
      <c r="E51" s="10"/>
      <c r="F51" s="10"/>
      <c r="G51" s="10"/>
      <c r="H51" s="109">
        <f>SUM(H4:H50)</f>
        <v>30000000.25</v>
      </c>
      <c r="I51" s="10"/>
      <c r="J51" s="10"/>
      <c r="K51" s="10"/>
      <c r="L51" s="10"/>
    </row>
    <row r="52" spans="1:12" x14ac:dyDescent="0.25">
      <c r="A52" s="10"/>
      <c r="B52" s="10"/>
      <c r="C52" s="10"/>
      <c r="D52" s="10"/>
      <c r="E52" s="10"/>
      <c r="F52" s="10"/>
      <c r="G52" s="10"/>
      <c r="H52" s="10"/>
      <c r="I52" s="10"/>
      <c r="J52" s="10"/>
      <c r="K52" s="10"/>
      <c r="L52" s="10"/>
    </row>
  </sheetData>
  <mergeCells count="3">
    <mergeCell ref="A1:L1"/>
    <mergeCell ref="A2:D2"/>
    <mergeCell ref="K2:L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E11" sqref="E11"/>
    </sheetView>
  </sheetViews>
  <sheetFormatPr baseColWidth="10" defaultRowHeight="15" x14ac:dyDescent="0.25"/>
  <cols>
    <col min="1" max="1" width="7.28515625" customWidth="1"/>
    <col min="2" max="2" width="26.42578125" customWidth="1"/>
    <col min="3" max="3" width="10.42578125" customWidth="1"/>
    <col min="4" max="4" width="6.7109375" customWidth="1"/>
    <col min="5" max="5" width="7.42578125" customWidth="1"/>
    <col min="6" max="6" width="9.28515625" customWidth="1"/>
    <col min="9" max="9" width="8" customWidth="1"/>
    <col min="11" max="11" width="16" customWidth="1"/>
  </cols>
  <sheetData>
    <row r="1" spans="1:12" ht="15.75" x14ac:dyDescent="0.25">
      <c r="A1" s="230" t="s">
        <v>731</v>
      </c>
      <c r="B1" s="230"/>
      <c r="C1" s="231"/>
      <c r="D1" s="231"/>
      <c r="E1" s="231"/>
      <c r="F1" s="231"/>
      <c r="G1" s="231"/>
      <c r="H1" s="231"/>
      <c r="I1" s="231"/>
      <c r="J1" s="231"/>
      <c r="K1" s="231"/>
    </row>
    <row r="2" spans="1:12" ht="15.75" x14ac:dyDescent="0.25">
      <c r="A2" s="232" t="s">
        <v>636</v>
      </c>
      <c r="B2" s="233"/>
      <c r="C2" s="233"/>
      <c r="D2" s="61"/>
      <c r="E2" s="61"/>
      <c r="F2" s="61"/>
      <c r="G2" s="61"/>
      <c r="H2" s="213" t="s">
        <v>1130</v>
      </c>
      <c r="I2" s="213"/>
      <c r="J2" s="213"/>
      <c r="K2" s="214"/>
    </row>
    <row r="3" spans="1:12" ht="45" x14ac:dyDescent="0.25">
      <c r="A3" s="152" t="s">
        <v>0</v>
      </c>
      <c r="B3" s="153" t="s">
        <v>1</v>
      </c>
      <c r="C3" s="153" t="s">
        <v>2</v>
      </c>
      <c r="D3" s="153" t="s">
        <v>3</v>
      </c>
      <c r="E3" s="153" t="s">
        <v>4</v>
      </c>
      <c r="F3" s="153" t="s">
        <v>619</v>
      </c>
      <c r="G3" s="153" t="s">
        <v>633</v>
      </c>
      <c r="H3" s="153" t="s">
        <v>6</v>
      </c>
      <c r="I3" s="153" t="s">
        <v>7</v>
      </c>
      <c r="J3" s="159" t="s">
        <v>8</v>
      </c>
      <c r="K3" s="159" t="s">
        <v>10</v>
      </c>
      <c r="L3" s="158"/>
    </row>
    <row r="4" spans="1:12" ht="84" x14ac:dyDescent="0.25">
      <c r="A4" s="28">
        <v>1</v>
      </c>
      <c r="B4" s="50" t="s">
        <v>1131</v>
      </c>
      <c r="C4" s="28" t="s">
        <v>634</v>
      </c>
      <c r="D4" s="28">
        <v>319</v>
      </c>
      <c r="E4" s="28" t="s">
        <v>11</v>
      </c>
      <c r="F4" s="46">
        <v>0</v>
      </c>
      <c r="G4" s="46">
        <v>0</v>
      </c>
      <c r="H4" s="28" t="s">
        <v>416</v>
      </c>
      <c r="I4" s="28" t="s">
        <v>536</v>
      </c>
      <c r="J4" s="28" t="s">
        <v>40</v>
      </c>
      <c r="K4" s="36" t="s">
        <v>635</v>
      </c>
    </row>
    <row r="5" spans="1:12" x14ac:dyDescent="0.25">
      <c r="A5" s="1"/>
      <c r="B5" s="1"/>
      <c r="C5" s="1"/>
      <c r="D5" s="1"/>
      <c r="E5" s="1"/>
      <c r="F5" s="1"/>
      <c r="G5" s="1"/>
      <c r="H5" s="1"/>
      <c r="I5" s="1"/>
      <c r="J5" s="1"/>
      <c r="K5" s="1"/>
    </row>
    <row r="7" spans="1:12" x14ac:dyDescent="0.25">
      <c r="F7" t="s">
        <v>12</v>
      </c>
      <c r="G7" s="27" t="s">
        <v>12</v>
      </c>
    </row>
  </sheetData>
  <mergeCells count="3">
    <mergeCell ref="A1:K1"/>
    <mergeCell ref="A2:C2"/>
    <mergeCell ref="H2:K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topLeftCell="A64" workbookViewId="0">
      <selection activeCell="K17" sqref="K17"/>
    </sheetView>
  </sheetViews>
  <sheetFormatPr baseColWidth="10" defaultRowHeight="15" x14ac:dyDescent="0.25"/>
  <cols>
    <col min="1" max="1" width="7.28515625" customWidth="1"/>
    <col min="2" max="2" width="30.28515625" customWidth="1"/>
    <col min="3" max="3" width="13.42578125" customWidth="1"/>
    <col min="4" max="4" width="6.7109375" customWidth="1"/>
    <col min="5" max="5" width="7" customWidth="1"/>
    <col min="6" max="6" width="11" customWidth="1"/>
    <col min="7" max="7" width="10.140625" customWidth="1"/>
    <col min="11" max="11" width="13.5703125" customWidth="1"/>
  </cols>
  <sheetData>
    <row r="1" spans="1:11" ht="15.75" x14ac:dyDescent="0.25">
      <c r="A1" s="234" t="s">
        <v>732</v>
      </c>
      <c r="B1" s="235"/>
      <c r="C1" s="235"/>
      <c r="D1" s="235"/>
      <c r="E1" s="235"/>
      <c r="F1" s="235"/>
      <c r="G1" s="235"/>
      <c r="H1" s="235"/>
      <c r="I1" s="235"/>
      <c r="J1" s="235"/>
      <c r="K1" s="236"/>
    </row>
    <row r="2" spans="1:11" ht="15.75" x14ac:dyDescent="0.25">
      <c r="A2" s="237" t="s">
        <v>637</v>
      </c>
      <c r="B2" s="238"/>
      <c r="C2" s="238"/>
      <c r="D2" s="86"/>
      <c r="E2" s="86"/>
      <c r="F2" s="86"/>
      <c r="G2" s="86"/>
      <c r="H2" s="86"/>
      <c r="I2" s="238" t="s">
        <v>1081</v>
      </c>
      <c r="J2" s="238"/>
      <c r="K2" s="239"/>
    </row>
    <row r="3" spans="1:11" ht="45" x14ac:dyDescent="0.25">
      <c r="A3" s="152" t="s">
        <v>0</v>
      </c>
      <c r="B3" s="153" t="s">
        <v>1</v>
      </c>
      <c r="C3" s="153" t="s">
        <v>2</v>
      </c>
      <c r="D3" s="153" t="s">
        <v>3</v>
      </c>
      <c r="E3" s="153" t="s">
        <v>4</v>
      </c>
      <c r="F3" s="153" t="s">
        <v>147</v>
      </c>
      <c r="G3" s="153" t="s">
        <v>9</v>
      </c>
      <c r="H3" s="153" t="s">
        <v>6</v>
      </c>
      <c r="I3" s="153" t="s">
        <v>7</v>
      </c>
      <c r="J3" s="159" t="s">
        <v>8</v>
      </c>
      <c r="K3" s="159" t="s">
        <v>10</v>
      </c>
    </row>
    <row r="4" spans="1:11" ht="24" x14ac:dyDescent="0.25">
      <c r="A4" s="179">
        <v>1</v>
      </c>
      <c r="B4" s="183" t="s">
        <v>164</v>
      </c>
      <c r="C4" s="181" t="s">
        <v>396</v>
      </c>
      <c r="D4" s="75">
        <v>6</v>
      </c>
      <c r="E4" s="75" t="s">
        <v>397</v>
      </c>
      <c r="F4" s="77">
        <v>16200</v>
      </c>
      <c r="G4" s="89">
        <f>D4*F4</f>
        <v>97200</v>
      </c>
      <c r="H4" s="56" t="s">
        <v>416</v>
      </c>
      <c r="I4" s="28" t="s">
        <v>417</v>
      </c>
      <c r="J4" s="28" t="s">
        <v>40</v>
      </c>
      <c r="K4" s="28" t="s">
        <v>418</v>
      </c>
    </row>
    <row r="5" spans="1:11" ht="24" x14ac:dyDescent="0.25">
      <c r="A5" s="179">
        <v>2</v>
      </c>
      <c r="B5" s="183" t="s">
        <v>165</v>
      </c>
      <c r="C5" s="181" t="s">
        <v>396</v>
      </c>
      <c r="D5" s="75">
        <v>9</v>
      </c>
      <c r="E5" s="87" t="s">
        <v>397</v>
      </c>
      <c r="F5" s="77">
        <v>16500</v>
      </c>
      <c r="G5" s="59">
        <f t="shared" ref="G5:G68" si="0">D5*F5</f>
        <v>148500</v>
      </c>
      <c r="H5" s="56" t="s">
        <v>416</v>
      </c>
      <c r="I5" s="28" t="s">
        <v>417</v>
      </c>
      <c r="J5" s="28" t="s">
        <v>40</v>
      </c>
      <c r="K5" s="28" t="s">
        <v>418</v>
      </c>
    </row>
    <row r="6" spans="1:11" ht="24" x14ac:dyDescent="0.25">
      <c r="A6" s="179">
        <v>3</v>
      </c>
      <c r="B6" s="183" t="s">
        <v>166</v>
      </c>
      <c r="C6" s="181" t="s">
        <v>396</v>
      </c>
      <c r="D6" s="75">
        <v>8</v>
      </c>
      <c r="E6" s="87" t="s">
        <v>397</v>
      </c>
      <c r="F6" s="88">
        <v>1900</v>
      </c>
      <c r="G6" s="59">
        <f t="shared" si="0"/>
        <v>15200</v>
      </c>
      <c r="H6" s="56" t="s">
        <v>416</v>
      </c>
      <c r="I6" s="28" t="s">
        <v>417</v>
      </c>
      <c r="J6" s="28" t="s">
        <v>40</v>
      </c>
      <c r="K6" s="28" t="s">
        <v>418</v>
      </c>
    </row>
    <row r="7" spans="1:11" ht="24" x14ac:dyDescent="0.25">
      <c r="A7" s="179">
        <v>4</v>
      </c>
      <c r="B7" s="183" t="s">
        <v>167</v>
      </c>
      <c r="C7" s="181" t="s">
        <v>396</v>
      </c>
      <c r="D7" s="75">
        <v>7</v>
      </c>
      <c r="E7" s="87" t="s">
        <v>397</v>
      </c>
      <c r="F7" s="88">
        <v>6100</v>
      </c>
      <c r="G7" s="59">
        <f t="shared" si="0"/>
        <v>42700</v>
      </c>
      <c r="H7" s="56" t="s">
        <v>416</v>
      </c>
      <c r="I7" s="28" t="s">
        <v>417</v>
      </c>
      <c r="J7" s="28" t="s">
        <v>40</v>
      </c>
      <c r="K7" s="28" t="s">
        <v>418</v>
      </c>
    </row>
    <row r="8" spans="1:11" ht="24" x14ac:dyDescent="0.25">
      <c r="A8" s="179">
        <v>5</v>
      </c>
      <c r="B8" s="183" t="s">
        <v>168</v>
      </c>
      <c r="C8" s="181" t="s">
        <v>396</v>
      </c>
      <c r="D8" s="75">
        <v>5</v>
      </c>
      <c r="E8" s="87" t="s">
        <v>397</v>
      </c>
      <c r="F8" s="77">
        <v>15990</v>
      </c>
      <c r="G8" s="59">
        <f t="shared" si="0"/>
        <v>79950</v>
      </c>
      <c r="H8" s="56" t="s">
        <v>416</v>
      </c>
      <c r="I8" s="28" t="s">
        <v>417</v>
      </c>
      <c r="J8" s="28" t="s">
        <v>40</v>
      </c>
      <c r="K8" s="28" t="s">
        <v>418</v>
      </c>
    </row>
    <row r="9" spans="1:11" ht="24" x14ac:dyDescent="0.25">
      <c r="A9" s="179">
        <v>6</v>
      </c>
      <c r="B9" s="183" t="s">
        <v>169</v>
      </c>
      <c r="C9" s="181" t="s">
        <v>396</v>
      </c>
      <c r="D9" s="75">
        <v>6</v>
      </c>
      <c r="E9" s="87" t="s">
        <v>397</v>
      </c>
      <c r="F9" s="88">
        <v>31200</v>
      </c>
      <c r="G9" s="59">
        <f t="shared" si="0"/>
        <v>187200</v>
      </c>
      <c r="H9" s="56" t="s">
        <v>416</v>
      </c>
      <c r="I9" s="28" t="s">
        <v>417</v>
      </c>
      <c r="J9" s="28" t="s">
        <v>40</v>
      </c>
      <c r="K9" s="28" t="s">
        <v>418</v>
      </c>
    </row>
    <row r="10" spans="1:11" ht="24" x14ac:dyDescent="0.25">
      <c r="A10" s="179">
        <v>7</v>
      </c>
      <c r="B10" s="183" t="s">
        <v>170</v>
      </c>
      <c r="C10" s="181" t="s">
        <v>396</v>
      </c>
      <c r="D10" s="75">
        <v>8</v>
      </c>
      <c r="E10" s="87" t="s">
        <v>397</v>
      </c>
      <c r="F10" s="88">
        <v>1890</v>
      </c>
      <c r="G10" s="59">
        <f t="shared" si="0"/>
        <v>15120</v>
      </c>
      <c r="H10" s="56" t="s">
        <v>416</v>
      </c>
      <c r="I10" s="28" t="s">
        <v>417</v>
      </c>
      <c r="J10" s="28" t="s">
        <v>40</v>
      </c>
      <c r="K10" s="28" t="s">
        <v>418</v>
      </c>
    </row>
    <row r="11" spans="1:11" ht="24" x14ac:dyDescent="0.25">
      <c r="A11" s="179">
        <v>8</v>
      </c>
      <c r="B11" s="183" t="s">
        <v>171</v>
      </c>
      <c r="C11" s="181" t="s">
        <v>396</v>
      </c>
      <c r="D11" s="75">
        <v>7</v>
      </c>
      <c r="E11" s="87" t="s">
        <v>397</v>
      </c>
      <c r="F11" s="90">
        <v>315</v>
      </c>
      <c r="G11" s="59">
        <f t="shared" si="0"/>
        <v>2205</v>
      </c>
      <c r="H11" s="56" t="s">
        <v>416</v>
      </c>
      <c r="I11" s="28" t="s">
        <v>417</v>
      </c>
      <c r="J11" s="28" t="s">
        <v>40</v>
      </c>
      <c r="K11" s="28" t="s">
        <v>418</v>
      </c>
    </row>
    <row r="12" spans="1:11" ht="24" x14ac:dyDescent="0.25">
      <c r="A12" s="179">
        <v>9</v>
      </c>
      <c r="B12" s="183" t="s">
        <v>172</v>
      </c>
      <c r="C12" s="181" t="s">
        <v>396</v>
      </c>
      <c r="D12" s="75">
        <v>6</v>
      </c>
      <c r="E12" s="87" t="s">
        <v>397</v>
      </c>
      <c r="F12" s="88">
        <v>4100</v>
      </c>
      <c r="G12" s="59">
        <f t="shared" si="0"/>
        <v>24600</v>
      </c>
      <c r="H12" s="56" t="s">
        <v>416</v>
      </c>
      <c r="I12" s="28" t="s">
        <v>417</v>
      </c>
      <c r="J12" s="28" t="s">
        <v>40</v>
      </c>
      <c r="K12" s="28" t="s">
        <v>418</v>
      </c>
    </row>
    <row r="13" spans="1:11" ht="24" x14ac:dyDescent="0.25">
      <c r="A13" s="179">
        <v>10</v>
      </c>
      <c r="B13" s="183" t="s">
        <v>173</v>
      </c>
      <c r="C13" s="181" t="s">
        <v>396</v>
      </c>
      <c r="D13" s="75">
        <v>5</v>
      </c>
      <c r="E13" s="87" t="s">
        <v>397</v>
      </c>
      <c r="F13" s="77">
        <v>16300</v>
      </c>
      <c r="G13" s="59">
        <f t="shared" si="0"/>
        <v>81500</v>
      </c>
      <c r="H13" s="56" t="s">
        <v>416</v>
      </c>
      <c r="I13" s="28" t="s">
        <v>417</v>
      </c>
      <c r="J13" s="28" t="s">
        <v>40</v>
      </c>
      <c r="K13" s="28" t="s">
        <v>418</v>
      </c>
    </row>
    <row r="14" spans="1:11" ht="24" x14ac:dyDescent="0.25">
      <c r="A14" s="179">
        <v>11</v>
      </c>
      <c r="B14" s="183" t="s">
        <v>174</v>
      </c>
      <c r="C14" s="181" t="s">
        <v>396</v>
      </c>
      <c r="D14" s="75">
        <v>4</v>
      </c>
      <c r="E14" s="87" t="s">
        <v>397</v>
      </c>
      <c r="F14" s="88">
        <v>26200</v>
      </c>
      <c r="G14" s="59">
        <f t="shared" si="0"/>
        <v>104800</v>
      </c>
      <c r="H14" s="56" t="s">
        <v>416</v>
      </c>
      <c r="I14" s="28" t="s">
        <v>417</v>
      </c>
      <c r="J14" s="28" t="s">
        <v>40</v>
      </c>
      <c r="K14" s="28" t="s">
        <v>418</v>
      </c>
    </row>
    <row r="15" spans="1:11" ht="24" x14ac:dyDescent="0.25">
      <c r="A15" s="179">
        <v>12</v>
      </c>
      <c r="B15" s="183" t="s">
        <v>175</v>
      </c>
      <c r="C15" s="181" t="s">
        <v>396</v>
      </c>
      <c r="D15" s="75">
        <v>5</v>
      </c>
      <c r="E15" s="87" t="s">
        <v>397</v>
      </c>
      <c r="F15" s="88">
        <v>20500</v>
      </c>
      <c r="G15" s="59">
        <f t="shared" si="0"/>
        <v>102500</v>
      </c>
      <c r="H15" s="56" t="s">
        <v>416</v>
      </c>
      <c r="I15" s="28" t="s">
        <v>417</v>
      </c>
      <c r="J15" s="28" t="s">
        <v>40</v>
      </c>
      <c r="K15" s="28" t="s">
        <v>418</v>
      </c>
    </row>
    <row r="16" spans="1:11" ht="24" x14ac:dyDescent="0.25">
      <c r="A16" s="179">
        <v>13</v>
      </c>
      <c r="B16" s="183" t="s">
        <v>176</v>
      </c>
      <c r="C16" s="181" t="s">
        <v>396</v>
      </c>
      <c r="D16" s="75">
        <v>5</v>
      </c>
      <c r="E16" s="87" t="s">
        <v>397</v>
      </c>
      <c r="F16" s="88">
        <v>19100</v>
      </c>
      <c r="G16" s="59">
        <f t="shared" si="0"/>
        <v>95500</v>
      </c>
      <c r="H16" s="56" t="s">
        <v>416</v>
      </c>
      <c r="I16" s="28" t="s">
        <v>417</v>
      </c>
      <c r="J16" s="28" t="s">
        <v>40</v>
      </c>
      <c r="K16" s="28" t="s">
        <v>418</v>
      </c>
    </row>
    <row r="17" spans="1:11" ht="24" x14ac:dyDescent="0.25">
      <c r="A17" s="179">
        <v>14</v>
      </c>
      <c r="B17" s="183" t="s">
        <v>177</v>
      </c>
      <c r="C17" s="181" t="s">
        <v>396</v>
      </c>
      <c r="D17" s="75">
        <v>50</v>
      </c>
      <c r="E17" s="87" t="s">
        <v>397</v>
      </c>
      <c r="F17" s="88">
        <v>4190</v>
      </c>
      <c r="G17" s="59">
        <f t="shared" si="0"/>
        <v>209500</v>
      </c>
      <c r="H17" s="56" t="s">
        <v>416</v>
      </c>
      <c r="I17" s="28" t="s">
        <v>417</v>
      </c>
      <c r="J17" s="28" t="s">
        <v>40</v>
      </c>
      <c r="K17" s="28" t="s">
        <v>418</v>
      </c>
    </row>
    <row r="18" spans="1:11" ht="24" x14ac:dyDescent="0.25">
      <c r="A18" s="179">
        <v>15</v>
      </c>
      <c r="B18" s="183" t="s">
        <v>178</v>
      </c>
      <c r="C18" s="181" t="s">
        <v>396</v>
      </c>
      <c r="D18" s="75">
        <v>6</v>
      </c>
      <c r="E18" s="87" t="s">
        <v>398</v>
      </c>
      <c r="F18" s="88">
        <v>5900</v>
      </c>
      <c r="G18" s="59">
        <f t="shared" si="0"/>
        <v>35400</v>
      </c>
      <c r="H18" s="56" t="s">
        <v>416</v>
      </c>
      <c r="I18" s="28" t="s">
        <v>417</v>
      </c>
      <c r="J18" s="28" t="s">
        <v>40</v>
      </c>
      <c r="K18" s="28" t="s">
        <v>418</v>
      </c>
    </row>
    <row r="19" spans="1:11" ht="24" x14ac:dyDescent="0.25">
      <c r="A19" s="179">
        <v>16</v>
      </c>
      <c r="B19" s="183" t="s">
        <v>179</v>
      </c>
      <c r="C19" s="181" t="s">
        <v>396</v>
      </c>
      <c r="D19" s="75">
        <v>5</v>
      </c>
      <c r="E19" s="87" t="s">
        <v>397</v>
      </c>
      <c r="F19" s="77">
        <v>15850</v>
      </c>
      <c r="G19" s="59">
        <f t="shared" si="0"/>
        <v>79250</v>
      </c>
      <c r="H19" s="56" t="s">
        <v>416</v>
      </c>
      <c r="I19" s="28" t="s">
        <v>417</v>
      </c>
      <c r="J19" s="28" t="s">
        <v>40</v>
      </c>
      <c r="K19" s="28" t="s">
        <v>418</v>
      </c>
    </row>
    <row r="20" spans="1:11" ht="24" x14ac:dyDescent="0.25">
      <c r="A20" s="179">
        <v>17</v>
      </c>
      <c r="B20" s="183" t="s">
        <v>180</v>
      </c>
      <c r="C20" s="181" t="s">
        <v>396</v>
      </c>
      <c r="D20" s="75">
        <v>3</v>
      </c>
      <c r="E20" s="87" t="s">
        <v>397</v>
      </c>
      <c r="F20" s="88">
        <v>231000</v>
      </c>
      <c r="G20" s="59">
        <f t="shared" si="0"/>
        <v>693000</v>
      </c>
      <c r="H20" s="56" t="s">
        <v>416</v>
      </c>
      <c r="I20" s="28" t="s">
        <v>417</v>
      </c>
      <c r="J20" s="28" t="s">
        <v>40</v>
      </c>
      <c r="K20" s="28" t="s">
        <v>418</v>
      </c>
    </row>
    <row r="21" spans="1:11" ht="24" x14ac:dyDescent="0.25">
      <c r="A21" s="179">
        <v>18</v>
      </c>
      <c r="B21" s="183" t="s">
        <v>181</v>
      </c>
      <c r="C21" s="181" t="s">
        <v>396</v>
      </c>
      <c r="D21" s="75">
        <v>12</v>
      </c>
      <c r="E21" s="87" t="s">
        <v>397</v>
      </c>
      <c r="F21" s="88">
        <v>20100</v>
      </c>
      <c r="G21" s="59">
        <f t="shared" si="0"/>
        <v>241200</v>
      </c>
      <c r="H21" s="56" t="s">
        <v>416</v>
      </c>
      <c r="I21" s="28" t="s">
        <v>417</v>
      </c>
      <c r="J21" s="28" t="s">
        <v>40</v>
      </c>
      <c r="K21" s="28" t="s">
        <v>418</v>
      </c>
    </row>
    <row r="22" spans="1:11" ht="24" x14ac:dyDescent="0.25">
      <c r="A22" s="179">
        <v>19</v>
      </c>
      <c r="B22" s="183" t="s">
        <v>182</v>
      </c>
      <c r="C22" s="181" t="s">
        <v>396</v>
      </c>
      <c r="D22" s="75">
        <v>12</v>
      </c>
      <c r="E22" s="87" t="s">
        <v>397</v>
      </c>
      <c r="F22" s="88">
        <v>47800</v>
      </c>
      <c r="G22" s="59">
        <f t="shared" si="0"/>
        <v>573600</v>
      </c>
      <c r="H22" s="56" t="s">
        <v>416</v>
      </c>
      <c r="I22" s="28" t="s">
        <v>417</v>
      </c>
      <c r="J22" s="28" t="s">
        <v>40</v>
      </c>
      <c r="K22" s="28" t="s">
        <v>418</v>
      </c>
    </row>
    <row r="23" spans="1:11" ht="24" x14ac:dyDescent="0.25">
      <c r="A23" s="179">
        <v>20</v>
      </c>
      <c r="B23" s="183" t="s">
        <v>183</v>
      </c>
      <c r="C23" s="181" t="s">
        <v>396</v>
      </c>
      <c r="D23" s="75">
        <v>12</v>
      </c>
      <c r="E23" s="87" t="s">
        <v>397</v>
      </c>
      <c r="F23" s="88">
        <v>29100</v>
      </c>
      <c r="G23" s="59">
        <f t="shared" si="0"/>
        <v>349200</v>
      </c>
      <c r="H23" s="56" t="s">
        <v>416</v>
      </c>
      <c r="I23" s="28" t="s">
        <v>417</v>
      </c>
      <c r="J23" s="28" t="s">
        <v>40</v>
      </c>
      <c r="K23" s="28" t="s">
        <v>418</v>
      </c>
    </row>
    <row r="24" spans="1:11" ht="24" x14ac:dyDescent="0.25">
      <c r="A24" s="179">
        <v>21</v>
      </c>
      <c r="B24" s="183" t="s">
        <v>184</v>
      </c>
      <c r="C24" s="181" t="s">
        <v>396</v>
      </c>
      <c r="D24" s="75">
        <v>50</v>
      </c>
      <c r="E24" s="87" t="s">
        <v>397</v>
      </c>
      <c r="F24" s="77">
        <v>15600</v>
      </c>
      <c r="G24" s="59">
        <f t="shared" si="0"/>
        <v>780000</v>
      </c>
      <c r="H24" s="56" t="s">
        <v>416</v>
      </c>
      <c r="I24" s="28" t="s">
        <v>417</v>
      </c>
      <c r="J24" s="28" t="s">
        <v>40</v>
      </c>
      <c r="K24" s="28" t="s">
        <v>418</v>
      </c>
    </row>
    <row r="25" spans="1:11" ht="24" x14ac:dyDescent="0.25">
      <c r="A25" s="179">
        <v>22</v>
      </c>
      <c r="B25" s="183" t="s">
        <v>185</v>
      </c>
      <c r="C25" s="181" t="s">
        <v>396</v>
      </c>
      <c r="D25" s="75">
        <v>5</v>
      </c>
      <c r="E25" s="87" t="s">
        <v>397</v>
      </c>
      <c r="F25" s="88">
        <v>41200</v>
      </c>
      <c r="G25" s="59">
        <f t="shared" si="0"/>
        <v>206000</v>
      </c>
      <c r="H25" s="56" t="s">
        <v>416</v>
      </c>
      <c r="I25" s="28" t="s">
        <v>417</v>
      </c>
      <c r="J25" s="28" t="s">
        <v>40</v>
      </c>
      <c r="K25" s="28" t="s">
        <v>418</v>
      </c>
    </row>
    <row r="26" spans="1:11" ht="24" x14ac:dyDescent="0.25">
      <c r="A26" s="179">
        <v>23</v>
      </c>
      <c r="B26" s="183" t="s">
        <v>186</v>
      </c>
      <c r="C26" s="181" t="s">
        <v>396</v>
      </c>
      <c r="D26" s="75">
        <v>2</v>
      </c>
      <c r="E26" s="87" t="s">
        <v>397</v>
      </c>
      <c r="F26" s="88">
        <v>104500</v>
      </c>
      <c r="G26" s="59">
        <f t="shared" si="0"/>
        <v>209000</v>
      </c>
      <c r="H26" s="56" t="s">
        <v>416</v>
      </c>
      <c r="I26" s="28" t="s">
        <v>417</v>
      </c>
      <c r="J26" s="28" t="s">
        <v>40</v>
      </c>
      <c r="K26" s="28" t="s">
        <v>418</v>
      </c>
    </row>
    <row r="27" spans="1:11" ht="24" x14ac:dyDescent="0.25">
      <c r="A27" s="179">
        <v>24</v>
      </c>
      <c r="B27" s="183" t="s">
        <v>187</v>
      </c>
      <c r="C27" s="181" t="s">
        <v>396</v>
      </c>
      <c r="D27" s="75">
        <v>25</v>
      </c>
      <c r="E27" s="87" t="s">
        <v>397</v>
      </c>
      <c r="F27" s="88">
        <v>321000</v>
      </c>
      <c r="G27" s="59">
        <f t="shared" si="0"/>
        <v>8025000</v>
      </c>
      <c r="H27" s="56" t="s">
        <v>416</v>
      </c>
      <c r="I27" s="28" t="s">
        <v>417</v>
      </c>
      <c r="J27" s="28" t="s">
        <v>40</v>
      </c>
      <c r="K27" s="28" t="s">
        <v>418</v>
      </c>
    </row>
    <row r="28" spans="1:11" ht="24" x14ac:dyDescent="0.25">
      <c r="A28" s="179">
        <v>25</v>
      </c>
      <c r="B28" s="183" t="s">
        <v>188</v>
      </c>
      <c r="C28" s="181" t="s">
        <v>396</v>
      </c>
      <c r="D28" s="75">
        <v>25</v>
      </c>
      <c r="E28" s="87" t="s">
        <v>397</v>
      </c>
      <c r="F28" s="88">
        <v>4050</v>
      </c>
      <c r="G28" s="59">
        <f t="shared" si="0"/>
        <v>101250</v>
      </c>
      <c r="H28" s="56" t="s">
        <v>416</v>
      </c>
      <c r="I28" s="28" t="s">
        <v>417</v>
      </c>
      <c r="J28" s="28" t="s">
        <v>40</v>
      </c>
      <c r="K28" s="28" t="s">
        <v>418</v>
      </c>
    </row>
    <row r="29" spans="1:11" ht="24" x14ac:dyDescent="0.25">
      <c r="A29" s="179">
        <v>26</v>
      </c>
      <c r="B29" s="183" t="s">
        <v>189</v>
      </c>
      <c r="C29" s="181" t="s">
        <v>396</v>
      </c>
      <c r="D29" s="75">
        <v>25</v>
      </c>
      <c r="E29" s="87" t="s">
        <v>397</v>
      </c>
      <c r="F29" s="88">
        <v>4050</v>
      </c>
      <c r="G29" s="59">
        <f t="shared" si="0"/>
        <v>101250</v>
      </c>
      <c r="H29" s="56" t="s">
        <v>416</v>
      </c>
      <c r="I29" s="28" t="s">
        <v>417</v>
      </c>
      <c r="J29" s="28" t="s">
        <v>40</v>
      </c>
      <c r="K29" s="28" t="s">
        <v>418</v>
      </c>
    </row>
    <row r="30" spans="1:11" ht="24" x14ac:dyDescent="0.25">
      <c r="A30" s="179">
        <v>27</v>
      </c>
      <c r="B30" s="183" t="s">
        <v>190</v>
      </c>
      <c r="C30" s="181" t="s">
        <v>396</v>
      </c>
      <c r="D30" s="75">
        <v>15</v>
      </c>
      <c r="E30" s="87" t="s">
        <v>397</v>
      </c>
      <c r="F30" s="88">
        <v>79200</v>
      </c>
      <c r="G30" s="59">
        <f t="shared" si="0"/>
        <v>1188000</v>
      </c>
      <c r="H30" s="56" t="s">
        <v>416</v>
      </c>
      <c r="I30" s="28" t="s">
        <v>417</v>
      </c>
      <c r="J30" s="28" t="s">
        <v>40</v>
      </c>
      <c r="K30" s="28" t="s">
        <v>418</v>
      </c>
    </row>
    <row r="31" spans="1:11" ht="24" x14ac:dyDescent="0.25">
      <c r="A31" s="179">
        <v>28</v>
      </c>
      <c r="B31" s="183" t="s">
        <v>191</v>
      </c>
      <c r="C31" s="181" t="s">
        <v>396</v>
      </c>
      <c r="D31" s="75">
        <v>10</v>
      </c>
      <c r="E31" s="87" t="s">
        <v>397</v>
      </c>
      <c r="F31" s="88">
        <v>2980</v>
      </c>
      <c r="G31" s="59">
        <f t="shared" si="0"/>
        <v>29800</v>
      </c>
      <c r="H31" s="56" t="s">
        <v>416</v>
      </c>
      <c r="I31" s="28" t="s">
        <v>417</v>
      </c>
      <c r="J31" s="28" t="s">
        <v>40</v>
      </c>
      <c r="K31" s="28" t="s">
        <v>418</v>
      </c>
    </row>
    <row r="32" spans="1:11" ht="24" x14ac:dyDescent="0.25">
      <c r="A32" s="179">
        <v>29</v>
      </c>
      <c r="B32" s="183" t="s">
        <v>192</v>
      </c>
      <c r="C32" s="181" t="s">
        <v>396</v>
      </c>
      <c r="D32" s="75">
        <v>10</v>
      </c>
      <c r="E32" s="87" t="s">
        <v>397</v>
      </c>
      <c r="F32" s="88">
        <v>4012</v>
      </c>
      <c r="G32" s="59">
        <f t="shared" si="0"/>
        <v>40120</v>
      </c>
      <c r="H32" s="56" t="s">
        <v>416</v>
      </c>
      <c r="I32" s="28" t="s">
        <v>417</v>
      </c>
      <c r="J32" s="28" t="s">
        <v>40</v>
      </c>
      <c r="K32" s="28" t="s">
        <v>418</v>
      </c>
    </row>
    <row r="33" spans="1:11" ht="24" x14ac:dyDescent="0.25">
      <c r="A33" s="179">
        <v>30</v>
      </c>
      <c r="B33" s="183" t="s">
        <v>193</v>
      </c>
      <c r="C33" s="181" t="s">
        <v>396</v>
      </c>
      <c r="D33" s="75">
        <v>5</v>
      </c>
      <c r="E33" s="87" t="s">
        <v>397</v>
      </c>
      <c r="F33" s="88">
        <v>6024</v>
      </c>
      <c r="G33" s="59">
        <f t="shared" si="0"/>
        <v>30120</v>
      </c>
      <c r="H33" s="56" t="s">
        <v>416</v>
      </c>
      <c r="I33" s="28" t="s">
        <v>417</v>
      </c>
      <c r="J33" s="28" t="s">
        <v>40</v>
      </c>
      <c r="K33" s="28" t="s">
        <v>418</v>
      </c>
    </row>
    <row r="34" spans="1:11" ht="24" x14ac:dyDescent="0.25">
      <c r="A34" s="179">
        <v>31</v>
      </c>
      <c r="B34" s="183" t="s">
        <v>194</v>
      </c>
      <c r="C34" s="181" t="s">
        <v>396</v>
      </c>
      <c r="D34" s="75">
        <v>3</v>
      </c>
      <c r="E34" s="87" t="s">
        <v>397</v>
      </c>
      <c r="F34" s="88">
        <v>9150</v>
      </c>
      <c r="G34" s="59">
        <f t="shared" si="0"/>
        <v>27450</v>
      </c>
      <c r="H34" s="56" t="s">
        <v>416</v>
      </c>
      <c r="I34" s="28" t="s">
        <v>417</v>
      </c>
      <c r="J34" s="28" t="s">
        <v>40</v>
      </c>
      <c r="K34" s="28" t="s">
        <v>418</v>
      </c>
    </row>
    <row r="35" spans="1:11" ht="24" x14ac:dyDescent="0.25">
      <c r="A35" s="179">
        <v>35</v>
      </c>
      <c r="B35" s="183" t="s">
        <v>1133</v>
      </c>
      <c r="C35" s="181" t="s">
        <v>396</v>
      </c>
      <c r="D35" s="75">
        <v>5</v>
      </c>
      <c r="E35" s="87" t="s">
        <v>397</v>
      </c>
      <c r="F35" s="88">
        <v>208100</v>
      </c>
      <c r="G35" s="59">
        <f t="shared" si="0"/>
        <v>1040500</v>
      </c>
      <c r="H35" s="56" t="s">
        <v>416</v>
      </c>
      <c r="I35" s="28" t="s">
        <v>417</v>
      </c>
      <c r="J35" s="28" t="s">
        <v>40</v>
      </c>
      <c r="K35" s="28" t="s">
        <v>418</v>
      </c>
    </row>
    <row r="36" spans="1:11" ht="24" x14ac:dyDescent="0.25">
      <c r="A36" s="179">
        <v>33</v>
      </c>
      <c r="B36" s="183" t="s">
        <v>195</v>
      </c>
      <c r="C36" s="181" t="s">
        <v>396</v>
      </c>
      <c r="D36" s="75">
        <v>5</v>
      </c>
      <c r="E36" s="87" t="s">
        <v>397</v>
      </c>
      <c r="F36" s="88">
        <v>10800</v>
      </c>
      <c r="G36" s="59">
        <f t="shared" si="0"/>
        <v>54000</v>
      </c>
      <c r="H36" s="56" t="s">
        <v>416</v>
      </c>
      <c r="I36" s="28" t="s">
        <v>417</v>
      </c>
      <c r="J36" s="28" t="s">
        <v>40</v>
      </c>
      <c r="K36" s="28" t="s">
        <v>418</v>
      </c>
    </row>
    <row r="37" spans="1:11" ht="24" x14ac:dyDescent="0.25">
      <c r="A37" s="179">
        <v>34</v>
      </c>
      <c r="B37" s="183" t="s">
        <v>196</v>
      </c>
      <c r="C37" s="181" t="s">
        <v>396</v>
      </c>
      <c r="D37" s="75">
        <v>15</v>
      </c>
      <c r="E37" s="87" t="s">
        <v>15</v>
      </c>
      <c r="F37" s="88">
        <v>26100</v>
      </c>
      <c r="G37" s="59">
        <f t="shared" si="0"/>
        <v>391500</v>
      </c>
      <c r="H37" s="56" t="s">
        <v>416</v>
      </c>
      <c r="I37" s="28" t="s">
        <v>417</v>
      </c>
      <c r="J37" s="28" t="s">
        <v>40</v>
      </c>
      <c r="K37" s="28" t="s">
        <v>418</v>
      </c>
    </row>
    <row r="38" spans="1:11" ht="24" x14ac:dyDescent="0.25">
      <c r="A38" s="179">
        <v>35</v>
      </c>
      <c r="B38" s="183" t="s">
        <v>197</v>
      </c>
      <c r="C38" s="181" t="s">
        <v>396</v>
      </c>
      <c r="D38" s="75">
        <v>5</v>
      </c>
      <c r="E38" s="87" t="s">
        <v>397</v>
      </c>
      <c r="F38" s="88">
        <v>118100</v>
      </c>
      <c r="G38" s="59">
        <f t="shared" si="0"/>
        <v>590500</v>
      </c>
      <c r="H38" s="56" t="s">
        <v>416</v>
      </c>
      <c r="I38" s="28" t="s">
        <v>417</v>
      </c>
      <c r="J38" s="28" t="s">
        <v>40</v>
      </c>
      <c r="K38" s="28" t="s">
        <v>418</v>
      </c>
    </row>
    <row r="39" spans="1:11" ht="24" x14ac:dyDescent="0.25">
      <c r="A39" s="179">
        <v>36</v>
      </c>
      <c r="B39" s="183" t="s">
        <v>198</v>
      </c>
      <c r="C39" s="182" t="s">
        <v>396</v>
      </c>
      <c r="D39" s="75">
        <v>100</v>
      </c>
      <c r="E39" s="87" t="s">
        <v>397</v>
      </c>
      <c r="F39" s="88">
        <v>12800</v>
      </c>
      <c r="G39" s="59">
        <f t="shared" si="0"/>
        <v>1280000</v>
      </c>
      <c r="H39" s="56" t="s">
        <v>416</v>
      </c>
      <c r="I39" s="36" t="s">
        <v>417</v>
      </c>
      <c r="J39" s="28" t="s">
        <v>40</v>
      </c>
      <c r="K39" s="36" t="s">
        <v>418</v>
      </c>
    </row>
    <row r="40" spans="1:11" ht="24" x14ac:dyDescent="0.25">
      <c r="A40" s="179">
        <v>37</v>
      </c>
      <c r="B40" s="183" t="s">
        <v>199</v>
      </c>
      <c r="C40" s="181" t="s">
        <v>396</v>
      </c>
      <c r="D40" s="75">
        <v>20</v>
      </c>
      <c r="E40" s="87" t="s">
        <v>397</v>
      </c>
      <c r="F40" s="88">
        <v>10700</v>
      </c>
      <c r="G40" s="59">
        <f t="shared" si="0"/>
        <v>214000</v>
      </c>
      <c r="H40" s="56" t="s">
        <v>416</v>
      </c>
      <c r="I40" s="28" t="s">
        <v>417</v>
      </c>
      <c r="J40" s="28" t="s">
        <v>40</v>
      </c>
      <c r="K40" s="28" t="s">
        <v>418</v>
      </c>
    </row>
    <row r="41" spans="1:11" ht="24" x14ac:dyDescent="0.25">
      <c r="A41" s="179">
        <v>38</v>
      </c>
      <c r="B41" s="183" t="s">
        <v>200</v>
      </c>
      <c r="C41" s="181" t="s">
        <v>396</v>
      </c>
      <c r="D41" s="75">
        <v>20</v>
      </c>
      <c r="E41" s="87" t="s">
        <v>397</v>
      </c>
      <c r="F41" s="88">
        <v>20200</v>
      </c>
      <c r="G41" s="59">
        <f t="shared" si="0"/>
        <v>404000</v>
      </c>
      <c r="H41" s="56" t="s">
        <v>416</v>
      </c>
      <c r="I41" s="28" t="s">
        <v>417</v>
      </c>
      <c r="J41" s="28" t="s">
        <v>40</v>
      </c>
      <c r="K41" s="28" t="s">
        <v>418</v>
      </c>
    </row>
    <row r="42" spans="1:11" ht="24" x14ac:dyDescent="0.25">
      <c r="A42" s="179">
        <v>39</v>
      </c>
      <c r="B42" s="183" t="s">
        <v>201</v>
      </c>
      <c r="C42" s="181" t="s">
        <v>396</v>
      </c>
      <c r="D42" s="75">
        <v>15</v>
      </c>
      <c r="E42" s="87" t="s">
        <v>399</v>
      </c>
      <c r="F42" s="88">
        <v>52100</v>
      </c>
      <c r="G42" s="59">
        <f t="shared" si="0"/>
        <v>781500</v>
      </c>
      <c r="H42" s="56" t="s">
        <v>416</v>
      </c>
      <c r="I42" s="28" t="s">
        <v>417</v>
      </c>
      <c r="J42" s="28" t="s">
        <v>40</v>
      </c>
      <c r="K42" s="28" t="s">
        <v>418</v>
      </c>
    </row>
    <row r="43" spans="1:11" ht="24" x14ac:dyDescent="0.25">
      <c r="A43" s="179">
        <v>40</v>
      </c>
      <c r="B43" s="183" t="s">
        <v>202</v>
      </c>
      <c r="C43" s="181" t="s">
        <v>396</v>
      </c>
      <c r="D43" s="75">
        <v>25</v>
      </c>
      <c r="E43" s="87" t="s">
        <v>399</v>
      </c>
      <c r="F43" s="88">
        <v>31600</v>
      </c>
      <c r="G43" s="59">
        <f t="shared" si="0"/>
        <v>790000</v>
      </c>
      <c r="H43" s="56" t="s">
        <v>416</v>
      </c>
      <c r="I43" s="28" t="s">
        <v>417</v>
      </c>
      <c r="J43" s="28" t="s">
        <v>40</v>
      </c>
      <c r="K43" s="28" t="s">
        <v>418</v>
      </c>
    </row>
    <row r="44" spans="1:11" ht="24" x14ac:dyDescent="0.25">
      <c r="A44" s="179">
        <v>41</v>
      </c>
      <c r="B44" s="183" t="s">
        <v>203</v>
      </c>
      <c r="C44" s="181" t="s">
        <v>396</v>
      </c>
      <c r="D44" s="75">
        <v>900</v>
      </c>
      <c r="E44" s="87" t="s">
        <v>397</v>
      </c>
      <c r="F44" s="91">
        <v>420</v>
      </c>
      <c r="G44" s="59">
        <f t="shared" si="0"/>
        <v>378000</v>
      </c>
      <c r="H44" s="56" t="s">
        <v>416</v>
      </c>
      <c r="I44" s="28" t="s">
        <v>417</v>
      </c>
      <c r="J44" s="28" t="s">
        <v>40</v>
      </c>
      <c r="K44" s="28" t="s">
        <v>418</v>
      </c>
    </row>
    <row r="45" spans="1:11" ht="24" x14ac:dyDescent="0.25">
      <c r="A45" s="179">
        <v>42</v>
      </c>
      <c r="B45" s="183" t="s">
        <v>204</v>
      </c>
      <c r="C45" s="181" t="s">
        <v>396</v>
      </c>
      <c r="D45" s="75">
        <v>800</v>
      </c>
      <c r="E45" s="87" t="s">
        <v>397</v>
      </c>
      <c r="F45" s="91">
        <v>760</v>
      </c>
      <c r="G45" s="59">
        <f t="shared" si="0"/>
        <v>608000</v>
      </c>
      <c r="H45" s="56" t="s">
        <v>416</v>
      </c>
      <c r="I45" s="28" t="s">
        <v>417</v>
      </c>
      <c r="J45" s="28" t="s">
        <v>40</v>
      </c>
      <c r="K45" s="28" t="s">
        <v>418</v>
      </c>
    </row>
    <row r="46" spans="1:11" ht="24" x14ac:dyDescent="0.25">
      <c r="A46" s="179">
        <v>43</v>
      </c>
      <c r="B46" s="183" t="s">
        <v>205</v>
      </c>
      <c r="C46" s="181" t="s">
        <v>396</v>
      </c>
      <c r="D46" s="75">
        <v>5</v>
      </c>
      <c r="E46" s="87" t="s">
        <v>397</v>
      </c>
      <c r="F46" s="88">
        <v>31600</v>
      </c>
      <c r="G46" s="59">
        <f t="shared" si="0"/>
        <v>158000</v>
      </c>
      <c r="H46" s="56" t="s">
        <v>416</v>
      </c>
      <c r="I46" s="28" t="s">
        <v>417</v>
      </c>
      <c r="J46" s="28" t="s">
        <v>40</v>
      </c>
      <c r="K46" s="28" t="s">
        <v>418</v>
      </c>
    </row>
    <row r="47" spans="1:11" ht="24" x14ac:dyDescent="0.25">
      <c r="A47" s="179">
        <v>44</v>
      </c>
      <c r="B47" s="183" t="s">
        <v>206</v>
      </c>
      <c r="C47" s="181" t="s">
        <v>396</v>
      </c>
      <c r="D47" s="75">
        <v>5</v>
      </c>
      <c r="E47" s="87" t="s">
        <v>397</v>
      </c>
      <c r="F47" s="77">
        <v>15900</v>
      </c>
      <c r="G47" s="59">
        <f t="shared" si="0"/>
        <v>79500</v>
      </c>
      <c r="H47" s="56" t="s">
        <v>416</v>
      </c>
      <c r="I47" s="28" t="s">
        <v>417</v>
      </c>
      <c r="J47" s="28" t="s">
        <v>40</v>
      </c>
      <c r="K47" s="28" t="s">
        <v>418</v>
      </c>
    </row>
    <row r="48" spans="1:11" ht="24" x14ac:dyDescent="0.25">
      <c r="A48" s="179">
        <v>45</v>
      </c>
      <c r="B48" s="183" t="s">
        <v>207</v>
      </c>
      <c r="C48" s="181" t="s">
        <v>396</v>
      </c>
      <c r="D48" s="75">
        <v>5</v>
      </c>
      <c r="E48" s="87" t="s">
        <v>397</v>
      </c>
      <c r="F48" s="88">
        <v>19990</v>
      </c>
      <c r="G48" s="59">
        <f t="shared" si="0"/>
        <v>99950</v>
      </c>
      <c r="H48" s="56" t="s">
        <v>416</v>
      </c>
      <c r="I48" s="28" t="s">
        <v>417</v>
      </c>
      <c r="J48" s="28" t="s">
        <v>40</v>
      </c>
      <c r="K48" s="28" t="s">
        <v>418</v>
      </c>
    </row>
    <row r="49" spans="1:11" ht="24" x14ac:dyDescent="0.25">
      <c r="A49" s="179">
        <v>46</v>
      </c>
      <c r="B49" s="183" t="s">
        <v>208</v>
      </c>
      <c r="C49" s="181" t="s">
        <v>396</v>
      </c>
      <c r="D49" s="75">
        <v>600</v>
      </c>
      <c r="E49" s="87" t="s">
        <v>397</v>
      </c>
      <c r="F49" s="91">
        <v>540</v>
      </c>
      <c r="G49" s="59">
        <f t="shared" si="0"/>
        <v>324000</v>
      </c>
      <c r="H49" s="56" t="s">
        <v>416</v>
      </c>
      <c r="I49" s="28" t="s">
        <v>417</v>
      </c>
      <c r="J49" s="28" t="s">
        <v>40</v>
      </c>
      <c r="K49" s="28" t="s">
        <v>418</v>
      </c>
    </row>
    <row r="50" spans="1:11" ht="24" x14ac:dyDescent="0.25">
      <c r="A50" s="179">
        <v>47</v>
      </c>
      <c r="B50" s="183" t="s">
        <v>209</v>
      </c>
      <c r="C50" s="181" t="s">
        <v>396</v>
      </c>
      <c r="D50" s="75">
        <v>15</v>
      </c>
      <c r="E50" s="87" t="s">
        <v>400</v>
      </c>
      <c r="F50" s="88">
        <v>96200</v>
      </c>
      <c r="G50" s="59">
        <f t="shared" si="0"/>
        <v>1443000</v>
      </c>
      <c r="H50" s="56" t="s">
        <v>416</v>
      </c>
      <c r="I50" s="28" t="s">
        <v>417</v>
      </c>
      <c r="J50" s="28" t="s">
        <v>40</v>
      </c>
      <c r="K50" s="28" t="s">
        <v>418</v>
      </c>
    </row>
    <row r="51" spans="1:11" ht="24" x14ac:dyDescent="0.25">
      <c r="A51" s="179">
        <v>48</v>
      </c>
      <c r="B51" s="184" t="s">
        <v>210</v>
      </c>
      <c r="C51" s="181" t="s">
        <v>396</v>
      </c>
      <c r="D51" s="75">
        <v>15</v>
      </c>
      <c r="E51" s="87" t="s">
        <v>397</v>
      </c>
      <c r="F51" s="91">
        <v>641</v>
      </c>
      <c r="G51" s="59">
        <f t="shared" si="0"/>
        <v>9615</v>
      </c>
      <c r="H51" s="56" t="s">
        <v>416</v>
      </c>
      <c r="I51" s="28" t="s">
        <v>417</v>
      </c>
      <c r="J51" s="28" t="s">
        <v>40</v>
      </c>
      <c r="K51" s="28" t="s">
        <v>418</v>
      </c>
    </row>
    <row r="52" spans="1:11" ht="24" x14ac:dyDescent="0.25">
      <c r="A52" s="179">
        <v>49</v>
      </c>
      <c r="B52" s="183" t="s">
        <v>211</v>
      </c>
      <c r="C52" s="181" t="s">
        <v>396</v>
      </c>
      <c r="D52" s="75">
        <v>100</v>
      </c>
      <c r="E52" s="87" t="s">
        <v>397</v>
      </c>
      <c r="F52" s="91">
        <v>322</v>
      </c>
      <c r="G52" s="59">
        <f t="shared" si="0"/>
        <v>32200</v>
      </c>
      <c r="H52" s="56" t="s">
        <v>416</v>
      </c>
      <c r="I52" s="28" t="s">
        <v>417</v>
      </c>
      <c r="J52" s="28" t="s">
        <v>40</v>
      </c>
      <c r="K52" s="28" t="s">
        <v>418</v>
      </c>
    </row>
    <row r="53" spans="1:11" ht="24" x14ac:dyDescent="0.25">
      <c r="A53" s="179">
        <v>50</v>
      </c>
      <c r="B53" s="184" t="s">
        <v>212</v>
      </c>
      <c r="C53" s="181" t="s">
        <v>396</v>
      </c>
      <c r="D53" s="75">
        <v>100</v>
      </c>
      <c r="E53" s="87" t="s">
        <v>397</v>
      </c>
      <c r="F53" s="88">
        <v>1280</v>
      </c>
      <c r="G53" s="59">
        <f t="shared" si="0"/>
        <v>128000</v>
      </c>
      <c r="H53" s="56" t="s">
        <v>416</v>
      </c>
      <c r="I53" s="28" t="s">
        <v>417</v>
      </c>
      <c r="J53" s="28" t="s">
        <v>40</v>
      </c>
      <c r="K53" s="28" t="s">
        <v>418</v>
      </c>
    </row>
    <row r="54" spans="1:11" ht="24" x14ac:dyDescent="0.25">
      <c r="A54" s="179">
        <v>51</v>
      </c>
      <c r="B54" s="183" t="s">
        <v>213</v>
      </c>
      <c r="C54" s="181" t="s">
        <v>396</v>
      </c>
      <c r="D54" s="75">
        <v>30</v>
      </c>
      <c r="E54" s="87" t="s">
        <v>397</v>
      </c>
      <c r="F54" s="88">
        <v>3100</v>
      </c>
      <c r="G54" s="59">
        <f t="shared" si="0"/>
        <v>93000</v>
      </c>
      <c r="H54" s="56" t="s">
        <v>416</v>
      </c>
      <c r="I54" s="28" t="s">
        <v>417</v>
      </c>
      <c r="J54" s="28" t="s">
        <v>40</v>
      </c>
      <c r="K54" s="28" t="s">
        <v>418</v>
      </c>
    </row>
    <row r="55" spans="1:11" ht="24" x14ac:dyDescent="0.25">
      <c r="A55" s="179">
        <v>52</v>
      </c>
      <c r="B55" s="183" t="s">
        <v>214</v>
      </c>
      <c r="C55" s="181" t="s">
        <v>396</v>
      </c>
      <c r="D55" s="75">
        <v>15</v>
      </c>
      <c r="E55" s="87" t="s">
        <v>397</v>
      </c>
      <c r="F55" s="88">
        <v>3500</v>
      </c>
      <c r="G55" s="59">
        <f t="shared" si="0"/>
        <v>52500</v>
      </c>
      <c r="H55" s="56" t="s">
        <v>416</v>
      </c>
      <c r="I55" s="28" t="s">
        <v>417</v>
      </c>
      <c r="J55" s="28" t="s">
        <v>40</v>
      </c>
      <c r="K55" s="28" t="s">
        <v>418</v>
      </c>
    </row>
    <row r="56" spans="1:11" ht="24" x14ac:dyDescent="0.25">
      <c r="A56" s="179">
        <v>53</v>
      </c>
      <c r="B56" s="183" t="s">
        <v>215</v>
      </c>
      <c r="C56" s="181" t="s">
        <v>396</v>
      </c>
      <c r="D56" s="75">
        <v>10</v>
      </c>
      <c r="E56" s="87" t="s">
        <v>397</v>
      </c>
      <c r="F56" s="91">
        <f>900*3.5%+900</f>
        <v>931.5</v>
      </c>
      <c r="G56" s="59">
        <f t="shared" si="0"/>
        <v>9315</v>
      </c>
      <c r="H56" s="56" t="s">
        <v>416</v>
      </c>
      <c r="I56" s="28" t="s">
        <v>417</v>
      </c>
      <c r="J56" s="28" t="s">
        <v>40</v>
      </c>
      <c r="K56" s="28" t="s">
        <v>418</v>
      </c>
    </row>
    <row r="57" spans="1:11" ht="24" x14ac:dyDescent="0.25">
      <c r="A57" s="179">
        <v>54</v>
      </c>
      <c r="B57" s="183" t="s">
        <v>216</v>
      </c>
      <c r="C57" s="181" t="s">
        <v>396</v>
      </c>
      <c r="D57" s="75">
        <v>10</v>
      </c>
      <c r="E57" s="87" t="s">
        <v>397</v>
      </c>
      <c r="F57" s="88">
        <f>45000*3.5%+45000</f>
        <v>46575</v>
      </c>
      <c r="G57" s="59">
        <f t="shared" si="0"/>
        <v>465750</v>
      </c>
      <c r="H57" s="56" t="s">
        <v>416</v>
      </c>
      <c r="I57" s="28" t="s">
        <v>417</v>
      </c>
      <c r="J57" s="28" t="s">
        <v>40</v>
      </c>
      <c r="K57" s="28" t="s">
        <v>418</v>
      </c>
    </row>
    <row r="58" spans="1:11" ht="24" x14ac:dyDescent="0.25">
      <c r="A58" s="179">
        <v>55</v>
      </c>
      <c r="B58" s="183" t="s">
        <v>217</v>
      </c>
      <c r="C58" s="181" t="s">
        <v>396</v>
      </c>
      <c r="D58" s="75">
        <v>50</v>
      </c>
      <c r="E58" s="87" t="s">
        <v>397</v>
      </c>
      <c r="F58" s="88">
        <f>2000*3.5%+2000</f>
        <v>2070</v>
      </c>
      <c r="G58" s="59">
        <f t="shared" si="0"/>
        <v>103500</v>
      </c>
      <c r="H58" s="56" t="s">
        <v>416</v>
      </c>
      <c r="I58" s="28" t="s">
        <v>417</v>
      </c>
      <c r="J58" s="28" t="s">
        <v>40</v>
      </c>
      <c r="K58" s="28" t="s">
        <v>418</v>
      </c>
    </row>
    <row r="59" spans="1:11" ht="24" x14ac:dyDescent="0.25">
      <c r="A59" s="179">
        <v>56</v>
      </c>
      <c r="B59" s="183" t="s">
        <v>218</v>
      </c>
      <c r="C59" s="181" t="s">
        <v>396</v>
      </c>
      <c r="D59" s="75">
        <v>50</v>
      </c>
      <c r="E59" s="87" t="s">
        <v>397</v>
      </c>
      <c r="F59" s="88">
        <f>2400*3.5%+2400</f>
        <v>2484</v>
      </c>
      <c r="G59" s="59">
        <f t="shared" si="0"/>
        <v>124200</v>
      </c>
      <c r="H59" s="56" t="s">
        <v>416</v>
      </c>
      <c r="I59" s="28" t="s">
        <v>417</v>
      </c>
      <c r="J59" s="28" t="s">
        <v>40</v>
      </c>
      <c r="K59" s="28" t="s">
        <v>418</v>
      </c>
    </row>
    <row r="60" spans="1:11" ht="24" x14ac:dyDescent="0.25">
      <c r="A60" s="179">
        <v>57</v>
      </c>
      <c r="B60" s="183" t="s">
        <v>219</v>
      </c>
      <c r="C60" s="181" t="s">
        <v>396</v>
      </c>
      <c r="D60" s="75">
        <v>15</v>
      </c>
      <c r="E60" s="87" t="s">
        <v>397</v>
      </c>
      <c r="F60" s="88">
        <f>4500*3.5%+4500</f>
        <v>4657.5</v>
      </c>
      <c r="G60" s="59">
        <f t="shared" si="0"/>
        <v>69862.5</v>
      </c>
      <c r="H60" s="56" t="s">
        <v>416</v>
      </c>
      <c r="I60" s="28" t="s">
        <v>417</v>
      </c>
      <c r="J60" s="28" t="s">
        <v>40</v>
      </c>
      <c r="K60" s="28" t="s">
        <v>418</v>
      </c>
    </row>
    <row r="61" spans="1:11" ht="24" x14ac:dyDescent="0.25">
      <c r="A61" s="179">
        <v>58</v>
      </c>
      <c r="B61" s="183" t="s">
        <v>220</v>
      </c>
      <c r="C61" s="181" t="s">
        <v>396</v>
      </c>
      <c r="D61" s="75">
        <v>3</v>
      </c>
      <c r="E61" s="87" t="s">
        <v>397</v>
      </c>
      <c r="F61" s="88">
        <f>7000*3.5%+7000</f>
        <v>7245</v>
      </c>
      <c r="G61" s="59">
        <f t="shared" si="0"/>
        <v>21735</v>
      </c>
      <c r="H61" s="56" t="s">
        <v>416</v>
      </c>
      <c r="I61" s="28" t="s">
        <v>417</v>
      </c>
      <c r="J61" s="28" t="s">
        <v>40</v>
      </c>
      <c r="K61" s="28" t="s">
        <v>418</v>
      </c>
    </row>
    <row r="62" spans="1:11" ht="24" x14ac:dyDescent="0.25">
      <c r="A62" s="179">
        <v>59</v>
      </c>
      <c r="B62" s="183" t="s">
        <v>221</v>
      </c>
      <c r="C62" s="181" t="s">
        <v>396</v>
      </c>
      <c r="D62" s="75">
        <v>1</v>
      </c>
      <c r="E62" s="87" t="s">
        <v>397</v>
      </c>
      <c r="F62" s="88">
        <v>350000</v>
      </c>
      <c r="G62" s="59">
        <f t="shared" si="0"/>
        <v>350000</v>
      </c>
      <c r="H62" s="56" t="s">
        <v>416</v>
      </c>
      <c r="I62" s="28" t="s">
        <v>417</v>
      </c>
      <c r="J62" s="28" t="s">
        <v>40</v>
      </c>
      <c r="K62" s="28" t="s">
        <v>418</v>
      </c>
    </row>
    <row r="63" spans="1:11" ht="24" x14ac:dyDescent="0.25">
      <c r="A63" s="179">
        <v>60</v>
      </c>
      <c r="B63" s="184" t="s">
        <v>222</v>
      </c>
      <c r="C63" s="181" t="s">
        <v>396</v>
      </c>
      <c r="D63" s="75">
        <v>8</v>
      </c>
      <c r="E63" s="87" t="s">
        <v>397</v>
      </c>
      <c r="F63" s="88">
        <v>13000</v>
      </c>
      <c r="G63" s="59">
        <f t="shared" si="0"/>
        <v>104000</v>
      </c>
      <c r="H63" s="56" t="s">
        <v>416</v>
      </c>
      <c r="I63" s="28" t="s">
        <v>417</v>
      </c>
      <c r="J63" s="28" t="s">
        <v>40</v>
      </c>
      <c r="K63" s="28" t="s">
        <v>418</v>
      </c>
    </row>
    <row r="64" spans="1:11" ht="24" x14ac:dyDescent="0.25">
      <c r="A64" s="179">
        <v>61</v>
      </c>
      <c r="B64" s="184" t="s">
        <v>223</v>
      </c>
      <c r="C64" s="181" t="s">
        <v>396</v>
      </c>
      <c r="D64" s="75">
        <v>1</v>
      </c>
      <c r="E64" s="87" t="s">
        <v>397</v>
      </c>
      <c r="F64" s="88">
        <v>85000</v>
      </c>
      <c r="G64" s="59">
        <f t="shared" si="0"/>
        <v>85000</v>
      </c>
      <c r="H64" s="56" t="s">
        <v>416</v>
      </c>
      <c r="I64" s="28" t="s">
        <v>417</v>
      </c>
      <c r="J64" s="28" t="s">
        <v>40</v>
      </c>
      <c r="K64" s="28" t="s">
        <v>418</v>
      </c>
    </row>
    <row r="65" spans="1:11" ht="24" x14ac:dyDescent="0.25">
      <c r="A65" s="179">
        <v>62</v>
      </c>
      <c r="B65" s="184" t="s">
        <v>224</v>
      </c>
      <c r="C65" s="181" t="s">
        <v>396</v>
      </c>
      <c r="D65" s="75">
        <v>5</v>
      </c>
      <c r="E65" s="87" t="s">
        <v>397</v>
      </c>
      <c r="F65" s="88">
        <v>10500</v>
      </c>
      <c r="G65" s="59">
        <f t="shared" si="0"/>
        <v>52500</v>
      </c>
      <c r="H65" s="56" t="s">
        <v>416</v>
      </c>
      <c r="I65" s="28" t="s">
        <v>417</v>
      </c>
      <c r="J65" s="28" t="s">
        <v>40</v>
      </c>
      <c r="K65" s="28" t="s">
        <v>418</v>
      </c>
    </row>
    <row r="66" spans="1:11" ht="24" x14ac:dyDescent="0.25">
      <c r="A66" s="179">
        <v>63</v>
      </c>
      <c r="B66" s="184" t="s">
        <v>225</v>
      </c>
      <c r="C66" s="181" t="s">
        <v>396</v>
      </c>
      <c r="D66" s="75">
        <v>5</v>
      </c>
      <c r="E66" s="87" t="s">
        <v>397</v>
      </c>
      <c r="F66" s="88">
        <v>250000</v>
      </c>
      <c r="G66" s="59">
        <f t="shared" si="0"/>
        <v>1250000</v>
      </c>
      <c r="H66" s="56" t="s">
        <v>416</v>
      </c>
      <c r="I66" s="28" t="s">
        <v>417</v>
      </c>
      <c r="J66" s="28" t="s">
        <v>40</v>
      </c>
      <c r="K66" s="28" t="s">
        <v>418</v>
      </c>
    </row>
    <row r="67" spans="1:11" ht="24" x14ac:dyDescent="0.25">
      <c r="A67" s="179">
        <v>64</v>
      </c>
      <c r="B67" s="184" t="s">
        <v>226</v>
      </c>
      <c r="C67" s="181" t="s">
        <v>396</v>
      </c>
      <c r="D67" s="75">
        <v>15</v>
      </c>
      <c r="E67" s="87" t="s">
        <v>15</v>
      </c>
      <c r="F67" s="88">
        <v>41000</v>
      </c>
      <c r="G67" s="59">
        <f t="shared" si="0"/>
        <v>615000</v>
      </c>
      <c r="H67" s="56" t="s">
        <v>416</v>
      </c>
      <c r="I67" s="28" t="s">
        <v>417</v>
      </c>
      <c r="J67" s="28" t="s">
        <v>40</v>
      </c>
      <c r="K67" s="28" t="s">
        <v>418</v>
      </c>
    </row>
    <row r="68" spans="1:11" ht="24" x14ac:dyDescent="0.25">
      <c r="A68" s="179">
        <v>65</v>
      </c>
      <c r="B68" s="184" t="s">
        <v>227</v>
      </c>
      <c r="C68" s="181" t="s">
        <v>396</v>
      </c>
      <c r="D68" s="75">
        <v>2</v>
      </c>
      <c r="E68" s="87" t="s">
        <v>397</v>
      </c>
      <c r="F68" s="88">
        <f>190000*3.5%+190000</f>
        <v>196650</v>
      </c>
      <c r="G68" s="59">
        <f t="shared" si="0"/>
        <v>393300</v>
      </c>
      <c r="H68" s="56" t="s">
        <v>416</v>
      </c>
      <c r="I68" s="28" t="s">
        <v>417</v>
      </c>
      <c r="J68" s="28" t="s">
        <v>40</v>
      </c>
      <c r="K68" s="28" t="s">
        <v>418</v>
      </c>
    </row>
    <row r="69" spans="1:11" ht="24" x14ac:dyDescent="0.25">
      <c r="A69" s="179">
        <v>66</v>
      </c>
      <c r="B69" s="184" t="s">
        <v>228</v>
      </c>
      <c r="C69" s="181" t="s">
        <v>396</v>
      </c>
      <c r="D69" s="75">
        <v>1</v>
      </c>
      <c r="E69" s="87" t="s">
        <v>397</v>
      </c>
      <c r="F69" s="88">
        <v>140000</v>
      </c>
      <c r="G69" s="59">
        <f t="shared" ref="G69:G132" si="1">D69*F69</f>
        <v>140000</v>
      </c>
      <c r="H69" s="56" t="s">
        <v>416</v>
      </c>
      <c r="I69" s="28" t="s">
        <v>417</v>
      </c>
      <c r="J69" s="28" t="s">
        <v>40</v>
      </c>
      <c r="K69" s="28" t="s">
        <v>418</v>
      </c>
    </row>
    <row r="70" spans="1:11" ht="24" x14ac:dyDescent="0.25">
      <c r="A70" s="179">
        <v>67</v>
      </c>
      <c r="B70" s="184" t="s">
        <v>229</v>
      </c>
      <c r="C70" s="181" t="s">
        <v>396</v>
      </c>
      <c r="D70" s="75">
        <v>3</v>
      </c>
      <c r="E70" s="87" t="s">
        <v>397</v>
      </c>
      <c r="F70" s="88">
        <f>4500*3.5%+4500</f>
        <v>4657.5</v>
      </c>
      <c r="G70" s="59">
        <f t="shared" si="1"/>
        <v>13972.5</v>
      </c>
      <c r="H70" s="56" t="s">
        <v>416</v>
      </c>
      <c r="I70" s="28" t="s">
        <v>417</v>
      </c>
      <c r="J70" s="28" t="s">
        <v>40</v>
      </c>
      <c r="K70" s="28" t="s">
        <v>418</v>
      </c>
    </row>
    <row r="71" spans="1:11" ht="24" x14ac:dyDescent="0.25">
      <c r="A71" s="179">
        <v>68</v>
      </c>
      <c r="B71" s="184" t="s">
        <v>230</v>
      </c>
      <c r="C71" s="181" t="s">
        <v>396</v>
      </c>
      <c r="D71" s="75">
        <v>3</v>
      </c>
      <c r="E71" s="87" t="s">
        <v>397</v>
      </c>
      <c r="F71" s="88">
        <f>7000*3.5%+7000</f>
        <v>7245</v>
      </c>
      <c r="G71" s="59">
        <f t="shared" si="1"/>
        <v>21735</v>
      </c>
      <c r="H71" s="56" t="s">
        <v>416</v>
      </c>
      <c r="I71" s="28" t="s">
        <v>417</v>
      </c>
      <c r="J71" s="28" t="s">
        <v>40</v>
      </c>
      <c r="K71" s="28" t="s">
        <v>418</v>
      </c>
    </row>
    <row r="72" spans="1:11" ht="24" x14ac:dyDescent="0.25">
      <c r="A72" s="179">
        <v>69</v>
      </c>
      <c r="B72" s="184" t="s">
        <v>231</v>
      </c>
      <c r="C72" s="181" t="s">
        <v>396</v>
      </c>
      <c r="D72" s="75">
        <v>3</v>
      </c>
      <c r="E72" s="87" t="s">
        <v>397</v>
      </c>
      <c r="F72" s="88">
        <f>45000*3.5%+45000</f>
        <v>46575</v>
      </c>
      <c r="G72" s="59">
        <f t="shared" si="1"/>
        <v>139725</v>
      </c>
      <c r="H72" s="56" t="s">
        <v>416</v>
      </c>
      <c r="I72" s="28" t="s">
        <v>417</v>
      </c>
      <c r="J72" s="28" t="s">
        <v>40</v>
      </c>
      <c r="K72" s="28" t="s">
        <v>418</v>
      </c>
    </row>
    <row r="73" spans="1:11" ht="24" x14ac:dyDescent="0.25">
      <c r="A73" s="179">
        <v>70</v>
      </c>
      <c r="B73" s="184" t="s">
        <v>232</v>
      </c>
      <c r="C73" s="181" t="s">
        <v>396</v>
      </c>
      <c r="D73" s="75">
        <v>3</v>
      </c>
      <c r="E73" s="87" t="s">
        <v>397</v>
      </c>
      <c r="F73" s="88">
        <f>8500*3.5%+8500</f>
        <v>8797.5</v>
      </c>
      <c r="G73" s="59">
        <f t="shared" si="1"/>
        <v>26392.5</v>
      </c>
      <c r="H73" s="56" t="s">
        <v>416</v>
      </c>
      <c r="I73" s="28" t="s">
        <v>417</v>
      </c>
      <c r="J73" s="28" t="s">
        <v>40</v>
      </c>
      <c r="K73" s="28" t="s">
        <v>418</v>
      </c>
    </row>
    <row r="74" spans="1:11" ht="24" x14ac:dyDescent="0.25">
      <c r="A74" s="179">
        <v>71</v>
      </c>
      <c r="B74" s="184" t="s">
        <v>233</v>
      </c>
      <c r="C74" s="181" t="s">
        <v>396</v>
      </c>
      <c r="D74" s="75">
        <v>3</v>
      </c>
      <c r="E74" s="87" t="s">
        <v>397</v>
      </c>
      <c r="F74" s="88">
        <f>75000*3.5%+75000</f>
        <v>77625</v>
      </c>
      <c r="G74" s="59">
        <f t="shared" si="1"/>
        <v>232875</v>
      </c>
      <c r="H74" s="56" t="s">
        <v>416</v>
      </c>
      <c r="I74" s="28" t="s">
        <v>417</v>
      </c>
      <c r="J74" s="28" t="s">
        <v>40</v>
      </c>
      <c r="K74" s="28" t="s">
        <v>418</v>
      </c>
    </row>
    <row r="75" spans="1:11" ht="24" x14ac:dyDescent="0.25">
      <c r="A75" s="179">
        <v>72</v>
      </c>
      <c r="B75" s="184" t="s">
        <v>234</v>
      </c>
      <c r="C75" s="181" t="s">
        <v>396</v>
      </c>
      <c r="D75" s="75">
        <v>1</v>
      </c>
      <c r="E75" s="87" t="s">
        <v>397</v>
      </c>
      <c r="F75" s="88">
        <f>35000*3.5%+35000</f>
        <v>36225</v>
      </c>
      <c r="G75" s="59">
        <f t="shared" si="1"/>
        <v>36225</v>
      </c>
      <c r="H75" s="56" t="s">
        <v>416</v>
      </c>
      <c r="I75" s="28" t="s">
        <v>417</v>
      </c>
      <c r="J75" s="28" t="s">
        <v>40</v>
      </c>
      <c r="K75" s="28" t="s">
        <v>418</v>
      </c>
    </row>
    <row r="76" spans="1:11" ht="24" x14ac:dyDescent="0.25">
      <c r="A76" s="179">
        <v>73</v>
      </c>
      <c r="B76" s="184" t="s">
        <v>235</v>
      </c>
      <c r="C76" s="181" t="s">
        <v>396</v>
      </c>
      <c r="D76" s="75">
        <v>1</v>
      </c>
      <c r="E76" s="87" t="s">
        <v>397</v>
      </c>
      <c r="F76" s="88">
        <f>40000*3.5%+40000</f>
        <v>41400</v>
      </c>
      <c r="G76" s="59">
        <f t="shared" si="1"/>
        <v>41400</v>
      </c>
      <c r="H76" s="56" t="s">
        <v>416</v>
      </c>
      <c r="I76" s="28" t="s">
        <v>417</v>
      </c>
      <c r="J76" s="28" t="s">
        <v>40</v>
      </c>
      <c r="K76" s="28" t="s">
        <v>418</v>
      </c>
    </row>
    <row r="77" spans="1:11" ht="24" x14ac:dyDescent="0.25">
      <c r="A77" s="179">
        <v>74</v>
      </c>
      <c r="B77" s="184" t="s">
        <v>236</v>
      </c>
      <c r="C77" s="181" t="s">
        <v>396</v>
      </c>
      <c r="D77" s="75">
        <v>10</v>
      </c>
      <c r="E77" s="87" t="s">
        <v>397</v>
      </c>
      <c r="F77" s="88">
        <f>4000*3.5%+4000</f>
        <v>4140</v>
      </c>
      <c r="G77" s="59">
        <f t="shared" si="1"/>
        <v>41400</v>
      </c>
      <c r="H77" s="56" t="s">
        <v>416</v>
      </c>
      <c r="I77" s="28" t="s">
        <v>417</v>
      </c>
      <c r="J77" s="28" t="s">
        <v>40</v>
      </c>
      <c r="K77" s="28" t="s">
        <v>418</v>
      </c>
    </row>
    <row r="78" spans="1:11" ht="24" x14ac:dyDescent="0.25">
      <c r="A78" s="179">
        <v>75</v>
      </c>
      <c r="B78" s="184" t="s">
        <v>237</v>
      </c>
      <c r="C78" s="181" t="s">
        <v>396</v>
      </c>
      <c r="D78" s="75">
        <v>12</v>
      </c>
      <c r="E78" s="87" t="s">
        <v>397</v>
      </c>
      <c r="F78" s="88">
        <f>4500*3.5%+4500</f>
        <v>4657.5</v>
      </c>
      <c r="G78" s="59">
        <f t="shared" si="1"/>
        <v>55890</v>
      </c>
      <c r="H78" s="56" t="s">
        <v>416</v>
      </c>
      <c r="I78" s="28" t="s">
        <v>417</v>
      </c>
      <c r="J78" s="28" t="s">
        <v>40</v>
      </c>
      <c r="K78" s="28" t="s">
        <v>418</v>
      </c>
    </row>
    <row r="79" spans="1:11" ht="24" x14ac:dyDescent="0.25">
      <c r="A79" s="179">
        <v>76</v>
      </c>
      <c r="B79" s="184" t="s">
        <v>238</v>
      </c>
      <c r="C79" s="181" t="s">
        <v>396</v>
      </c>
      <c r="D79" s="75">
        <v>20</v>
      </c>
      <c r="E79" s="87" t="s">
        <v>401</v>
      </c>
      <c r="F79" s="88">
        <f>43000*3.5%+43000</f>
        <v>44505</v>
      </c>
      <c r="G79" s="59">
        <f t="shared" si="1"/>
        <v>890100</v>
      </c>
      <c r="H79" s="56" t="s">
        <v>416</v>
      </c>
      <c r="I79" s="28" t="s">
        <v>417</v>
      </c>
      <c r="J79" s="28" t="s">
        <v>40</v>
      </c>
      <c r="K79" s="28" t="s">
        <v>418</v>
      </c>
    </row>
    <row r="80" spans="1:11" ht="24" x14ac:dyDescent="0.25">
      <c r="A80" s="179">
        <v>77</v>
      </c>
      <c r="B80" s="184" t="s">
        <v>239</v>
      </c>
      <c r="C80" s="181" t="s">
        <v>396</v>
      </c>
      <c r="D80" s="75">
        <v>2</v>
      </c>
      <c r="E80" s="87" t="s">
        <v>397</v>
      </c>
      <c r="F80" s="88">
        <f>1300000*3.5%+1300000</f>
        <v>1345500</v>
      </c>
      <c r="G80" s="59">
        <f t="shared" si="1"/>
        <v>2691000</v>
      </c>
      <c r="H80" s="56" t="s">
        <v>416</v>
      </c>
      <c r="I80" s="28" t="s">
        <v>417</v>
      </c>
      <c r="J80" s="28" t="s">
        <v>40</v>
      </c>
      <c r="K80" s="28" t="s">
        <v>418</v>
      </c>
    </row>
    <row r="81" spans="1:11" ht="24" x14ac:dyDescent="0.25">
      <c r="A81" s="179">
        <v>78</v>
      </c>
      <c r="B81" s="184" t="s">
        <v>240</v>
      </c>
      <c r="C81" s="181" t="s">
        <v>396</v>
      </c>
      <c r="D81" s="75">
        <v>3</v>
      </c>
      <c r="E81" s="87" t="s">
        <v>397</v>
      </c>
      <c r="F81" s="88">
        <f>18000*3.5%+18000</f>
        <v>18630</v>
      </c>
      <c r="G81" s="59">
        <f t="shared" si="1"/>
        <v>55890</v>
      </c>
      <c r="H81" s="56" t="s">
        <v>416</v>
      </c>
      <c r="I81" s="28" t="s">
        <v>417</v>
      </c>
      <c r="J81" s="28" t="s">
        <v>40</v>
      </c>
      <c r="K81" s="28" t="s">
        <v>418</v>
      </c>
    </row>
    <row r="82" spans="1:11" ht="24" x14ac:dyDescent="0.25">
      <c r="A82" s="179">
        <v>79</v>
      </c>
      <c r="B82" s="184" t="s">
        <v>241</v>
      </c>
      <c r="C82" s="181" t="s">
        <v>396</v>
      </c>
      <c r="D82" s="75">
        <v>2</v>
      </c>
      <c r="E82" s="87" t="s">
        <v>397</v>
      </c>
      <c r="F82" s="88">
        <f>12000*3.5%+12000</f>
        <v>12420</v>
      </c>
      <c r="G82" s="59">
        <f t="shared" si="1"/>
        <v>24840</v>
      </c>
      <c r="H82" s="56" t="s">
        <v>416</v>
      </c>
      <c r="I82" s="28" t="s">
        <v>417</v>
      </c>
      <c r="J82" s="28" t="s">
        <v>40</v>
      </c>
      <c r="K82" s="28" t="s">
        <v>418</v>
      </c>
    </row>
    <row r="83" spans="1:11" ht="24" x14ac:dyDescent="0.25">
      <c r="A83" s="179">
        <v>80</v>
      </c>
      <c r="B83" s="184" t="s">
        <v>242</v>
      </c>
      <c r="C83" s="181" t="s">
        <v>396</v>
      </c>
      <c r="D83" s="75">
        <v>3</v>
      </c>
      <c r="E83" s="87" t="s">
        <v>397</v>
      </c>
      <c r="F83" s="88">
        <f>18000*3.5%+18000</f>
        <v>18630</v>
      </c>
      <c r="G83" s="59">
        <f t="shared" si="1"/>
        <v>55890</v>
      </c>
      <c r="H83" s="56" t="s">
        <v>416</v>
      </c>
      <c r="I83" s="28" t="s">
        <v>417</v>
      </c>
      <c r="J83" s="28" t="s">
        <v>40</v>
      </c>
      <c r="K83" s="28" t="s">
        <v>418</v>
      </c>
    </row>
    <row r="84" spans="1:11" ht="24" x14ac:dyDescent="0.25">
      <c r="A84" s="179">
        <v>81</v>
      </c>
      <c r="B84" s="184" t="s">
        <v>243</v>
      </c>
      <c r="C84" s="181" t="s">
        <v>396</v>
      </c>
      <c r="D84" s="75">
        <v>3</v>
      </c>
      <c r="E84" s="87" t="s">
        <v>397</v>
      </c>
      <c r="F84" s="88">
        <f>15000*3.5%+15000</f>
        <v>15525</v>
      </c>
      <c r="G84" s="59">
        <f t="shared" si="1"/>
        <v>46575</v>
      </c>
      <c r="H84" s="56" t="s">
        <v>416</v>
      </c>
      <c r="I84" s="28" t="s">
        <v>417</v>
      </c>
      <c r="J84" s="28" t="s">
        <v>40</v>
      </c>
      <c r="K84" s="28" t="s">
        <v>418</v>
      </c>
    </row>
    <row r="85" spans="1:11" ht="24" x14ac:dyDescent="0.25">
      <c r="A85" s="179">
        <v>82</v>
      </c>
      <c r="B85" s="184" t="s">
        <v>244</v>
      </c>
      <c r="C85" s="181" t="s">
        <v>396</v>
      </c>
      <c r="D85" s="75">
        <v>3</v>
      </c>
      <c r="E85" s="87" t="s">
        <v>397</v>
      </c>
      <c r="F85" s="88">
        <f>12000*3.5%+12000</f>
        <v>12420</v>
      </c>
      <c r="G85" s="59">
        <f t="shared" si="1"/>
        <v>37260</v>
      </c>
      <c r="H85" s="56" t="s">
        <v>416</v>
      </c>
      <c r="I85" s="28" t="s">
        <v>417</v>
      </c>
      <c r="J85" s="28" t="s">
        <v>40</v>
      </c>
      <c r="K85" s="28" t="s">
        <v>418</v>
      </c>
    </row>
    <row r="86" spans="1:11" ht="24" x14ac:dyDescent="0.25">
      <c r="A86" s="179">
        <v>83</v>
      </c>
      <c r="B86" s="183" t="s">
        <v>245</v>
      </c>
      <c r="C86" s="181" t="s">
        <v>396</v>
      </c>
      <c r="D86" s="75">
        <v>3</v>
      </c>
      <c r="E86" s="87" t="s">
        <v>397</v>
      </c>
      <c r="F86" s="88">
        <f>13000*3.5%+13000</f>
        <v>13455</v>
      </c>
      <c r="G86" s="59">
        <f t="shared" si="1"/>
        <v>40365</v>
      </c>
      <c r="H86" s="56" t="s">
        <v>416</v>
      </c>
      <c r="I86" s="28" t="s">
        <v>417</v>
      </c>
      <c r="J86" s="28" t="s">
        <v>40</v>
      </c>
      <c r="K86" s="28" t="s">
        <v>418</v>
      </c>
    </row>
    <row r="87" spans="1:11" ht="24" x14ac:dyDescent="0.25">
      <c r="A87" s="179">
        <v>84</v>
      </c>
      <c r="B87" s="183" t="s">
        <v>1134</v>
      </c>
      <c r="C87" s="181" t="s">
        <v>396</v>
      </c>
      <c r="D87" s="75">
        <v>3</v>
      </c>
      <c r="E87" s="87" t="s">
        <v>397</v>
      </c>
      <c r="F87" s="88">
        <f>25000*3.5%+25000</f>
        <v>25875</v>
      </c>
      <c r="G87" s="59">
        <f t="shared" si="1"/>
        <v>77625</v>
      </c>
      <c r="H87" s="56" t="s">
        <v>416</v>
      </c>
      <c r="I87" s="28" t="s">
        <v>417</v>
      </c>
      <c r="J87" s="28" t="s">
        <v>40</v>
      </c>
      <c r="K87" s="28" t="s">
        <v>418</v>
      </c>
    </row>
    <row r="88" spans="1:11" ht="24" x14ac:dyDescent="0.25">
      <c r="A88" s="179">
        <v>85</v>
      </c>
      <c r="B88" s="183" t="s">
        <v>246</v>
      </c>
      <c r="C88" s="181" t="s">
        <v>396</v>
      </c>
      <c r="D88" s="75">
        <v>2</v>
      </c>
      <c r="E88" s="87" t="s">
        <v>402</v>
      </c>
      <c r="F88" s="88">
        <f>15000*3.5%+15000</f>
        <v>15525</v>
      </c>
      <c r="G88" s="59">
        <f t="shared" si="1"/>
        <v>31050</v>
      </c>
      <c r="H88" s="56" t="s">
        <v>416</v>
      </c>
      <c r="I88" s="28" t="s">
        <v>417</v>
      </c>
      <c r="J88" s="28" t="s">
        <v>40</v>
      </c>
      <c r="K88" s="28" t="s">
        <v>418</v>
      </c>
    </row>
    <row r="89" spans="1:11" ht="24" x14ac:dyDescent="0.25">
      <c r="A89" s="179">
        <v>86</v>
      </c>
      <c r="B89" s="183" t="s">
        <v>247</v>
      </c>
      <c r="C89" s="181" t="s">
        <v>396</v>
      </c>
      <c r="D89" s="75">
        <v>1</v>
      </c>
      <c r="E89" s="87" t="s">
        <v>403</v>
      </c>
      <c r="F89" s="88">
        <f>95000*3.5%+95000</f>
        <v>98325</v>
      </c>
      <c r="G89" s="59">
        <f t="shared" si="1"/>
        <v>98325</v>
      </c>
      <c r="H89" s="56" t="s">
        <v>416</v>
      </c>
      <c r="I89" s="28" t="s">
        <v>417</v>
      </c>
      <c r="J89" s="28" t="s">
        <v>40</v>
      </c>
      <c r="K89" s="28" t="s">
        <v>418</v>
      </c>
    </row>
    <row r="90" spans="1:11" ht="24" x14ac:dyDescent="0.25">
      <c r="A90" s="179">
        <v>87</v>
      </c>
      <c r="B90" s="183" t="s">
        <v>248</v>
      </c>
      <c r="C90" s="181" t="s">
        <v>396</v>
      </c>
      <c r="D90" s="75">
        <v>3</v>
      </c>
      <c r="E90" s="87" t="s">
        <v>397</v>
      </c>
      <c r="F90" s="88">
        <f>25000*3.5%+25000</f>
        <v>25875</v>
      </c>
      <c r="G90" s="59">
        <f t="shared" si="1"/>
        <v>77625</v>
      </c>
      <c r="H90" s="56" t="s">
        <v>416</v>
      </c>
      <c r="I90" s="28" t="s">
        <v>417</v>
      </c>
      <c r="J90" s="28" t="s">
        <v>40</v>
      </c>
      <c r="K90" s="28" t="s">
        <v>418</v>
      </c>
    </row>
    <row r="91" spans="1:11" ht="24" x14ac:dyDescent="0.25">
      <c r="A91" s="179">
        <v>88</v>
      </c>
      <c r="B91" s="183" t="s">
        <v>249</v>
      </c>
      <c r="C91" s="181" t="s">
        <v>396</v>
      </c>
      <c r="D91" s="75">
        <v>3</v>
      </c>
      <c r="E91" s="87" t="s">
        <v>397</v>
      </c>
      <c r="F91" s="88">
        <f>29000*3.5%+29000</f>
        <v>30015</v>
      </c>
      <c r="G91" s="59">
        <f t="shared" si="1"/>
        <v>90045</v>
      </c>
      <c r="H91" s="56" t="s">
        <v>416</v>
      </c>
      <c r="I91" s="28" t="s">
        <v>417</v>
      </c>
      <c r="J91" s="28" t="s">
        <v>40</v>
      </c>
      <c r="K91" s="28" t="s">
        <v>418</v>
      </c>
    </row>
    <row r="92" spans="1:11" ht="24" x14ac:dyDescent="0.25">
      <c r="A92" s="179">
        <v>89</v>
      </c>
      <c r="B92" s="183" t="s">
        <v>250</v>
      </c>
      <c r="C92" s="181" t="s">
        <v>396</v>
      </c>
      <c r="D92" s="75">
        <v>3</v>
      </c>
      <c r="E92" s="87" t="s">
        <v>404</v>
      </c>
      <c r="F92" s="88">
        <f>120000*3.5%+120000</f>
        <v>124200</v>
      </c>
      <c r="G92" s="59">
        <f t="shared" si="1"/>
        <v>372600</v>
      </c>
      <c r="H92" s="56" t="s">
        <v>416</v>
      </c>
      <c r="I92" s="28" t="s">
        <v>417</v>
      </c>
      <c r="J92" s="28" t="s">
        <v>40</v>
      </c>
      <c r="K92" s="28" t="s">
        <v>418</v>
      </c>
    </row>
    <row r="93" spans="1:11" ht="24" x14ac:dyDescent="0.25">
      <c r="A93" s="179">
        <v>90</v>
      </c>
      <c r="B93" s="184" t="s">
        <v>251</v>
      </c>
      <c r="C93" s="181" t="s">
        <v>396</v>
      </c>
      <c r="D93" s="75">
        <v>3</v>
      </c>
      <c r="E93" s="87" t="s">
        <v>397</v>
      </c>
      <c r="F93" s="88">
        <f>28000*3.5%+28000</f>
        <v>28980</v>
      </c>
      <c r="G93" s="59">
        <f t="shared" si="1"/>
        <v>86940</v>
      </c>
      <c r="H93" s="56" t="s">
        <v>416</v>
      </c>
      <c r="I93" s="28" t="s">
        <v>417</v>
      </c>
      <c r="J93" s="28" t="s">
        <v>40</v>
      </c>
      <c r="K93" s="28" t="s">
        <v>418</v>
      </c>
    </row>
    <row r="94" spans="1:11" ht="24" x14ac:dyDescent="0.25">
      <c r="A94" s="179">
        <v>91</v>
      </c>
      <c r="B94" s="184" t="s">
        <v>252</v>
      </c>
      <c r="C94" s="181" t="s">
        <v>396</v>
      </c>
      <c r="D94" s="75">
        <v>3</v>
      </c>
      <c r="E94" s="87" t="s">
        <v>404</v>
      </c>
      <c r="F94" s="88">
        <f>110000*3.5%+110000</f>
        <v>113850</v>
      </c>
      <c r="G94" s="59">
        <f t="shared" si="1"/>
        <v>341550</v>
      </c>
      <c r="H94" s="56" t="s">
        <v>416</v>
      </c>
      <c r="I94" s="28" t="s">
        <v>417</v>
      </c>
      <c r="J94" s="28" t="s">
        <v>40</v>
      </c>
      <c r="K94" s="28" t="s">
        <v>418</v>
      </c>
    </row>
    <row r="95" spans="1:11" ht="24" x14ac:dyDescent="0.25">
      <c r="A95" s="179">
        <v>92</v>
      </c>
      <c r="B95" s="184" t="s">
        <v>253</v>
      </c>
      <c r="C95" s="181" t="s">
        <v>396</v>
      </c>
      <c r="D95" s="75">
        <v>3</v>
      </c>
      <c r="E95" s="87" t="s">
        <v>404</v>
      </c>
      <c r="F95" s="88">
        <f>18000*3.5%+18000</f>
        <v>18630</v>
      </c>
      <c r="G95" s="59">
        <f t="shared" si="1"/>
        <v>55890</v>
      </c>
      <c r="H95" s="56" t="s">
        <v>416</v>
      </c>
      <c r="I95" s="28" t="s">
        <v>417</v>
      </c>
      <c r="J95" s="28" t="s">
        <v>40</v>
      </c>
      <c r="K95" s="28" t="s">
        <v>418</v>
      </c>
    </row>
    <row r="96" spans="1:11" ht="24" x14ac:dyDescent="0.25">
      <c r="A96" s="179">
        <v>93</v>
      </c>
      <c r="B96" s="184" t="s">
        <v>254</v>
      </c>
      <c r="C96" s="181" t="s">
        <v>396</v>
      </c>
      <c r="D96" s="75">
        <v>3</v>
      </c>
      <c r="E96" s="87" t="s">
        <v>405</v>
      </c>
      <c r="F96" s="88">
        <f>39000*3.5%+39000</f>
        <v>40365</v>
      </c>
      <c r="G96" s="59">
        <f t="shared" si="1"/>
        <v>121095</v>
      </c>
      <c r="H96" s="56" t="s">
        <v>416</v>
      </c>
      <c r="I96" s="28" t="s">
        <v>417</v>
      </c>
      <c r="J96" s="28" t="s">
        <v>40</v>
      </c>
      <c r="K96" s="28" t="s">
        <v>418</v>
      </c>
    </row>
    <row r="97" spans="1:11" ht="24" x14ac:dyDescent="0.25">
      <c r="A97" s="179">
        <v>94</v>
      </c>
      <c r="B97" s="184" t="s">
        <v>255</v>
      </c>
      <c r="C97" s="181" t="s">
        <v>396</v>
      </c>
      <c r="D97" s="75">
        <v>10</v>
      </c>
      <c r="E97" s="87" t="s">
        <v>406</v>
      </c>
      <c r="F97" s="88">
        <f>1000*3.5%+1000</f>
        <v>1035</v>
      </c>
      <c r="G97" s="59">
        <f t="shared" si="1"/>
        <v>10350</v>
      </c>
      <c r="H97" s="56" t="s">
        <v>416</v>
      </c>
      <c r="I97" s="28" t="s">
        <v>417</v>
      </c>
      <c r="J97" s="28" t="s">
        <v>40</v>
      </c>
      <c r="K97" s="28" t="s">
        <v>418</v>
      </c>
    </row>
    <row r="98" spans="1:11" ht="24" x14ac:dyDescent="0.25">
      <c r="A98" s="179">
        <v>95</v>
      </c>
      <c r="B98" s="184" t="s">
        <v>256</v>
      </c>
      <c r="C98" s="181" t="s">
        <v>396</v>
      </c>
      <c r="D98" s="75">
        <v>10</v>
      </c>
      <c r="E98" s="87" t="s">
        <v>406</v>
      </c>
      <c r="F98" s="88">
        <f t="shared" ref="F98:F100" si="2">1000*3.5%+1000</f>
        <v>1035</v>
      </c>
      <c r="G98" s="59">
        <f t="shared" si="1"/>
        <v>10350</v>
      </c>
      <c r="H98" s="56" t="s">
        <v>416</v>
      </c>
      <c r="I98" s="28" t="s">
        <v>417</v>
      </c>
      <c r="J98" s="28" t="s">
        <v>40</v>
      </c>
      <c r="K98" s="28" t="s">
        <v>418</v>
      </c>
    </row>
    <row r="99" spans="1:11" ht="24" x14ac:dyDescent="0.25">
      <c r="A99" s="179">
        <v>96</v>
      </c>
      <c r="B99" s="184" t="s">
        <v>257</v>
      </c>
      <c r="C99" s="181" t="s">
        <v>396</v>
      </c>
      <c r="D99" s="75">
        <v>10</v>
      </c>
      <c r="E99" s="87" t="s">
        <v>406</v>
      </c>
      <c r="F99" s="88">
        <f t="shared" si="2"/>
        <v>1035</v>
      </c>
      <c r="G99" s="59">
        <f t="shared" si="1"/>
        <v>10350</v>
      </c>
      <c r="H99" s="56" t="s">
        <v>416</v>
      </c>
      <c r="I99" s="28" t="s">
        <v>417</v>
      </c>
      <c r="J99" s="28" t="s">
        <v>40</v>
      </c>
      <c r="K99" s="28" t="s">
        <v>418</v>
      </c>
    </row>
    <row r="100" spans="1:11" ht="24" x14ac:dyDescent="0.25">
      <c r="A100" s="179">
        <v>97</v>
      </c>
      <c r="B100" s="184" t="s">
        <v>258</v>
      </c>
      <c r="C100" s="181" t="s">
        <v>396</v>
      </c>
      <c r="D100" s="75">
        <v>10</v>
      </c>
      <c r="E100" s="87" t="s">
        <v>406</v>
      </c>
      <c r="F100" s="88">
        <f t="shared" si="2"/>
        <v>1035</v>
      </c>
      <c r="G100" s="59">
        <f t="shared" si="1"/>
        <v>10350</v>
      </c>
      <c r="H100" s="56" t="s">
        <v>416</v>
      </c>
      <c r="I100" s="28" t="s">
        <v>417</v>
      </c>
      <c r="J100" s="28" t="s">
        <v>40</v>
      </c>
      <c r="K100" s="28" t="s">
        <v>418</v>
      </c>
    </row>
    <row r="101" spans="1:11" ht="24" x14ac:dyDescent="0.25">
      <c r="A101" s="179">
        <v>98</v>
      </c>
      <c r="B101" s="184" t="s">
        <v>259</v>
      </c>
      <c r="C101" s="181" t="s">
        <v>396</v>
      </c>
      <c r="D101" s="75">
        <v>10</v>
      </c>
      <c r="E101" s="87" t="s">
        <v>404</v>
      </c>
      <c r="F101" s="88">
        <f>98000*3.5%+98000</f>
        <v>101430</v>
      </c>
      <c r="G101" s="59">
        <f t="shared" si="1"/>
        <v>1014300</v>
      </c>
      <c r="H101" s="56" t="s">
        <v>416</v>
      </c>
      <c r="I101" s="28" t="s">
        <v>417</v>
      </c>
      <c r="J101" s="28" t="s">
        <v>40</v>
      </c>
      <c r="K101" s="28" t="s">
        <v>418</v>
      </c>
    </row>
    <row r="102" spans="1:11" ht="24" x14ac:dyDescent="0.25">
      <c r="A102" s="179">
        <v>99</v>
      </c>
      <c r="B102" s="184" t="s">
        <v>260</v>
      </c>
      <c r="C102" s="181" t="s">
        <v>396</v>
      </c>
      <c r="D102" s="75">
        <v>2</v>
      </c>
      <c r="E102" s="87" t="s">
        <v>397</v>
      </c>
      <c r="F102" s="88">
        <f>25000*3.5%+25000</f>
        <v>25875</v>
      </c>
      <c r="G102" s="59">
        <f t="shared" si="1"/>
        <v>51750</v>
      </c>
      <c r="H102" s="56" t="s">
        <v>416</v>
      </c>
      <c r="I102" s="28" t="s">
        <v>417</v>
      </c>
      <c r="J102" s="28" t="s">
        <v>40</v>
      </c>
      <c r="K102" s="28" t="s">
        <v>418</v>
      </c>
    </row>
    <row r="103" spans="1:11" ht="24" x14ac:dyDescent="0.25">
      <c r="A103" s="179">
        <v>100</v>
      </c>
      <c r="B103" s="184" t="s">
        <v>261</v>
      </c>
      <c r="C103" s="181" t="s">
        <v>396</v>
      </c>
      <c r="D103" s="75">
        <v>2</v>
      </c>
      <c r="E103" s="87" t="s">
        <v>397</v>
      </c>
      <c r="F103" s="88">
        <f>25000*3.5%+25000</f>
        <v>25875</v>
      </c>
      <c r="G103" s="59">
        <f t="shared" si="1"/>
        <v>51750</v>
      </c>
      <c r="H103" s="56" t="s">
        <v>416</v>
      </c>
      <c r="I103" s="28" t="s">
        <v>417</v>
      </c>
      <c r="J103" s="28" t="s">
        <v>40</v>
      </c>
      <c r="K103" s="28" t="s">
        <v>418</v>
      </c>
    </row>
    <row r="104" spans="1:11" ht="24" x14ac:dyDescent="0.25">
      <c r="A104" s="179">
        <v>101</v>
      </c>
      <c r="B104" s="183" t="s">
        <v>262</v>
      </c>
      <c r="C104" s="181" t="s">
        <v>396</v>
      </c>
      <c r="D104" s="75">
        <v>60</v>
      </c>
      <c r="E104" s="87" t="s">
        <v>397</v>
      </c>
      <c r="F104" s="88">
        <f>18000*3.5%+18000</f>
        <v>18630</v>
      </c>
      <c r="G104" s="59">
        <f t="shared" si="1"/>
        <v>1117800</v>
      </c>
      <c r="H104" s="56" t="s">
        <v>416</v>
      </c>
      <c r="I104" s="28" t="s">
        <v>417</v>
      </c>
      <c r="J104" s="28" t="s">
        <v>40</v>
      </c>
      <c r="K104" s="28" t="s">
        <v>418</v>
      </c>
    </row>
    <row r="105" spans="1:11" ht="24" x14ac:dyDescent="0.25">
      <c r="A105" s="179">
        <v>102</v>
      </c>
      <c r="B105" s="184" t="s">
        <v>263</v>
      </c>
      <c r="C105" s="181" t="s">
        <v>396</v>
      </c>
      <c r="D105" s="75">
        <v>2</v>
      </c>
      <c r="E105" s="87" t="s">
        <v>404</v>
      </c>
      <c r="F105" s="88">
        <f>3200000*3.5%+3200000</f>
        <v>3312000</v>
      </c>
      <c r="G105" s="59">
        <f t="shared" si="1"/>
        <v>6624000</v>
      </c>
      <c r="H105" s="56" t="s">
        <v>416</v>
      </c>
      <c r="I105" s="28" t="s">
        <v>417</v>
      </c>
      <c r="J105" s="28" t="s">
        <v>40</v>
      </c>
      <c r="K105" s="28" t="s">
        <v>418</v>
      </c>
    </row>
    <row r="106" spans="1:11" ht="24" x14ac:dyDescent="0.25">
      <c r="A106" s="179">
        <v>103</v>
      </c>
      <c r="B106" s="184" t="s">
        <v>264</v>
      </c>
      <c r="C106" s="181" t="s">
        <v>396</v>
      </c>
      <c r="D106" s="75">
        <v>2</v>
      </c>
      <c r="E106" s="87" t="s">
        <v>404</v>
      </c>
      <c r="F106" s="88">
        <f>45000*3.5%+45000</f>
        <v>46575</v>
      </c>
      <c r="G106" s="59">
        <f t="shared" si="1"/>
        <v>93150</v>
      </c>
      <c r="H106" s="56" t="s">
        <v>416</v>
      </c>
      <c r="I106" s="28" t="s">
        <v>417</v>
      </c>
      <c r="J106" s="28" t="s">
        <v>40</v>
      </c>
      <c r="K106" s="28" t="s">
        <v>418</v>
      </c>
    </row>
    <row r="107" spans="1:11" ht="24" x14ac:dyDescent="0.25">
      <c r="A107" s="179">
        <v>104</v>
      </c>
      <c r="B107" s="184" t="s">
        <v>265</v>
      </c>
      <c r="C107" s="181" t="s">
        <v>396</v>
      </c>
      <c r="D107" s="75">
        <v>2</v>
      </c>
      <c r="E107" s="87" t="s">
        <v>404</v>
      </c>
      <c r="F107" s="88">
        <f>35000*3.5%+35000</f>
        <v>36225</v>
      </c>
      <c r="G107" s="59">
        <f t="shared" si="1"/>
        <v>72450</v>
      </c>
      <c r="H107" s="56" t="s">
        <v>416</v>
      </c>
      <c r="I107" s="28" t="s">
        <v>417</v>
      </c>
      <c r="J107" s="28" t="s">
        <v>40</v>
      </c>
      <c r="K107" s="28" t="s">
        <v>418</v>
      </c>
    </row>
    <row r="108" spans="1:11" ht="24" x14ac:dyDescent="0.25">
      <c r="A108" s="179">
        <v>105</v>
      </c>
      <c r="B108" s="184" t="s">
        <v>266</v>
      </c>
      <c r="C108" s="181" t="s">
        <v>396</v>
      </c>
      <c r="D108" s="75">
        <v>3</v>
      </c>
      <c r="E108" s="87" t="s">
        <v>397</v>
      </c>
      <c r="F108" s="88">
        <f>48000*3.5%+48000</f>
        <v>49680</v>
      </c>
      <c r="G108" s="59">
        <f t="shared" si="1"/>
        <v>149040</v>
      </c>
      <c r="H108" s="56" t="s">
        <v>416</v>
      </c>
      <c r="I108" s="28" t="s">
        <v>417</v>
      </c>
      <c r="J108" s="28" t="s">
        <v>40</v>
      </c>
      <c r="K108" s="28" t="s">
        <v>418</v>
      </c>
    </row>
    <row r="109" spans="1:11" ht="24" x14ac:dyDescent="0.25">
      <c r="A109" s="179">
        <v>106</v>
      </c>
      <c r="B109" s="184" t="s">
        <v>267</v>
      </c>
      <c r="C109" s="181" t="s">
        <v>396</v>
      </c>
      <c r="D109" s="75">
        <v>5</v>
      </c>
      <c r="E109" s="87" t="s">
        <v>407</v>
      </c>
      <c r="F109" s="88">
        <f>55000*3.5%+55000</f>
        <v>56925</v>
      </c>
      <c r="G109" s="59">
        <f t="shared" si="1"/>
        <v>284625</v>
      </c>
      <c r="H109" s="56" t="s">
        <v>416</v>
      </c>
      <c r="I109" s="28" t="s">
        <v>417</v>
      </c>
      <c r="J109" s="28" t="s">
        <v>40</v>
      </c>
      <c r="K109" s="28" t="s">
        <v>418</v>
      </c>
    </row>
    <row r="110" spans="1:11" ht="24" x14ac:dyDescent="0.25">
      <c r="A110" s="179">
        <v>107</v>
      </c>
      <c r="B110" s="184" t="s">
        <v>268</v>
      </c>
      <c r="C110" s="181" t="s">
        <v>396</v>
      </c>
      <c r="D110" s="75">
        <v>5</v>
      </c>
      <c r="E110" s="87" t="s">
        <v>397</v>
      </c>
      <c r="F110" s="88">
        <f>55000*3.5%+55000</f>
        <v>56925</v>
      </c>
      <c r="G110" s="59">
        <f t="shared" si="1"/>
        <v>284625</v>
      </c>
      <c r="H110" s="56" t="s">
        <v>416</v>
      </c>
      <c r="I110" s="28" t="s">
        <v>417</v>
      </c>
      <c r="J110" s="28" t="s">
        <v>40</v>
      </c>
      <c r="K110" s="28" t="s">
        <v>418</v>
      </c>
    </row>
    <row r="111" spans="1:11" ht="24" x14ac:dyDescent="0.25">
      <c r="A111" s="179">
        <v>108</v>
      </c>
      <c r="B111" s="184" t="s">
        <v>269</v>
      </c>
      <c r="C111" s="181" t="s">
        <v>396</v>
      </c>
      <c r="D111" s="75">
        <v>5</v>
      </c>
      <c r="E111" s="87" t="s">
        <v>407</v>
      </c>
      <c r="F111" s="88">
        <f>55000*3.5%+55000</f>
        <v>56925</v>
      </c>
      <c r="G111" s="59">
        <f t="shared" si="1"/>
        <v>284625</v>
      </c>
      <c r="H111" s="56" t="s">
        <v>416</v>
      </c>
      <c r="I111" s="28" t="s">
        <v>417</v>
      </c>
      <c r="J111" s="28" t="s">
        <v>40</v>
      </c>
      <c r="K111" s="28" t="s">
        <v>418</v>
      </c>
    </row>
    <row r="112" spans="1:11" ht="24" x14ac:dyDescent="0.25">
      <c r="A112" s="179">
        <v>109</v>
      </c>
      <c r="B112" s="184" t="s">
        <v>270</v>
      </c>
      <c r="C112" s="181" t="s">
        <v>396</v>
      </c>
      <c r="D112" s="75">
        <v>15</v>
      </c>
      <c r="E112" s="87" t="s">
        <v>397</v>
      </c>
      <c r="F112" s="88">
        <f>75000*3.5%+75000</f>
        <v>77625</v>
      </c>
      <c r="G112" s="59">
        <f t="shared" si="1"/>
        <v>1164375</v>
      </c>
      <c r="H112" s="56" t="s">
        <v>416</v>
      </c>
      <c r="I112" s="28" t="s">
        <v>417</v>
      </c>
      <c r="J112" s="28" t="s">
        <v>40</v>
      </c>
      <c r="K112" s="28" t="s">
        <v>418</v>
      </c>
    </row>
    <row r="113" spans="1:11" ht="24" x14ac:dyDescent="0.25">
      <c r="A113" s="179">
        <v>110</v>
      </c>
      <c r="B113" s="184" t="s">
        <v>271</v>
      </c>
      <c r="C113" s="181" t="s">
        <v>396</v>
      </c>
      <c r="D113" s="75">
        <v>15</v>
      </c>
      <c r="E113" s="87" t="s">
        <v>397</v>
      </c>
      <c r="F113" s="88">
        <f>85000*3.5%+85000</f>
        <v>87975</v>
      </c>
      <c r="G113" s="59">
        <f t="shared" si="1"/>
        <v>1319625</v>
      </c>
      <c r="H113" s="56" t="s">
        <v>416</v>
      </c>
      <c r="I113" s="28" t="s">
        <v>417</v>
      </c>
      <c r="J113" s="28" t="s">
        <v>40</v>
      </c>
      <c r="K113" s="28" t="s">
        <v>418</v>
      </c>
    </row>
    <row r="114" spans="1:11" ht="24" x14ac:dyDescent="0.25">
      <c r="A114" s="179">
        <v>111</v>
      </c>
      <c r="B114" s="184" t="s">
        <v>272</v>
      </c>
      <c r="C114" s="181" t="s">
        <v>396</v>
      </c>
      <c r="D114" s="75">
        <v>15</v>
      </c>
      <c r="E114" s="87" t="s">
        <v>397</v>
      </c>
      <c r="F114" s="88">
        <f>65000*3.5%+65000</f>
        <v>67275</v>
      </c>
      <c r="G114" s="59">
        <f t="shared" si="1"/>
        <v>1009125</v>
      </c>
      <c r="H114" s="56" t="s">
        <v>416</v>
      </c>
      <c r="I114" s="28" t="s">
        <v>417</v>
      </c>
      <c r="J114" s="28" t="s">
        <v>40</v>
      </c>
      <c r="K114" s="28" t="s">
        <v>418</v>
      </c>
    </row>
    <row r="115" spans="1:11" ht="24" x14ac:dyDescent="0.25">
      <c r="A115" s="179">
        <v>112</v>
      </c>
      <c r="B115" s="184" t="s">
        <v>273</v>
      </c>
      <c r="C115" s="181" t="s">
        <v>396</v>
      </c>
      <c r="D115" s="75">
        <v>50</v>
      </c>
      <c r="E115" s="87" t="s">
        <v>397</v>
      </c>
      <c r="F115" s="88">
        <f>6000*3.5%+6000</f>
        <v>6210</v>
      </c>
      <c r="G115" s="59">
        <f t="shared" si="1"/>
        <v>310500</v>
      </c>
      <c r="H115" s="56" t="s">
        <v>416</v>
      </c>
      <c r="I115" s="28" t="s">
        <v>417</v>
      </c>
      <c r="J115" s="28" t="s">
        <v>40</v>
      </c>
      <c r="K115" s="28" t="s">
        <v>418</v>
      </c>
    </row>
    <row r="116" spans="1:11" ht="24" x14ac:dyDescent="0.25">
      <c r="A116" s="179">
        <v>113</v>
      </c>
      <c r="B116" s="184" t="s">
        <v>274</v>
      </c>
      <c r="C116" s="181" t="s">
        <v>396</v>
      </c>
      <c r="D116" s="75">
        <v>7</v>
      </c>
      <c r="E116" s="87" t="s">
        <v>397</v>
      </c>
      <c r="F116" s="88">
        <f>150000*3.5%+150000</f>
        <v>155250</v>
      </c>
      <c r="G116" s="59">
        <f t="shared" si="1"/>
        <v>1086750</v>
      </c>
      <c r="H116" s="56" t="s">
        <v>416</v>
      </c>
      <c r="I116" s="28" t="s">
        <v>417</v>
      </c>
      <c r="J116" s="28" t="s">
        <v>40</v>
      </c>
      <c r="K116" s="28" t="s">
        <v>418</v>
      </c>
    </row>
    <row r="117" spans="1:11" ht="24" x14ac:dyDescent="0.25">
      <c r="A117" s="179">
        <v>114</v>
      </c>
      <c r="B117" s="184" t="s">
        <v>275</v>
      </c>
      <c r="C117" s="181" t="s">
        <v>396</v>
      </c>
      <c r="D117" s="75">
        <v>20</v>
      </c>
      <c r="E117" s="87" t="s">
        <v>397</v>
      </c>
      <c r="F117" s="88">
        <f>35000*3.5%+35000</f>
        <v>36225</v>
      </c>
      <c r="G117" s="59">
        <f t="shared" si="1"/>
        <v>724500</v>
      </c>
      <c r="H117" s="56" t="s">
        <v>416</v>
      </c>
      <c r="I117" s="28" t="s">
        <v>417</v>
      </c>
      <c r="J117" s="28" t="s">
        <v>40</v>
      </c>
      <c r="K117" s="28" t="s">
        <v>418</v>
      </c>
    </row>
    <row r="118" spans="1:11" ht="24" x14ac:dyDescent="0.25">
      <c r="A118" s="179">
        <v>115</v>
      </c>
      <c r="B118" s="184" t="s">
        <v>276</v>
      </c>
      <c r="C118" s="181" t="s">
        <v>396</v>
      </c>
      <c r="D118" s="75">
        <v>3</v>
      </c>
      <c r="E118" s="87" t="s">
        <v>397</v>
      </c>
      <c r="F118" s="88">
        <f>6500*3.5%+6500</f>
        <v>6727.5</v>
      </c>
      <c r="G118" s="59">
        <f t="shared" si="1"/>
        <v>20182.5</v>
      </c>
      <c r="H118" s="56" t="s">
        <v>416</v>
      </c>
      <c r="I118" s="28" t="s">
        <v>417</v>
      </c>
      <c r="J118" s="28" t="s">
        <v>40</v>
      </c>
      <c r="K118" s="28" t="s">
        <v>418</v>
      </c>
    </row>
    <row r="119" spans="1:11" ht="24" x14ac:dyDescent="0.25">
      <c r="A119" s="179">
        <v>116</v>
      </c>
      <c r="B119" s="184" t="s">
        <v>277</v>
      </c>
      <c r="C119" s="181" t="s">
        <v>396</v>
      </c>
      <c r="D119" s="75">
        <v>5</v>
      </c>
      <c r="E119" s="87" t="s">
        <v>397</v>
      </c>
      <c r="F119" s="88">
        <f>55000*3.5%+55000</f>
        <v>56925</v>
      </c>
      <c r="G119" s="59">
        <f t="shared" si="1"/>
        <v>284625</v>
      </c>
      <c r="H119" s="56" t="s">
        <v>416</v>
      </c>
      <c r="I119" s="28" t="s">
        <v>417</v>
      </c>
      <c r="J119" s="28" t="s">
        <v>40</v>
      </c>
      <c r="K119" s="28" t="s">
        <v>418</v>
      </c>
    </row>
    <row r="120" spans="1:11" ht="24" x14ac:dyDescent="0.25">
      <c r="A120" s="179">
        <v>117</v>
      </c>
      <c r="B120" s="184" t="s">
        <v>278</v>
      </c>
      <c r="C120" s="181" t="s">
        <v>396</v>
      </c>
      <c r="D120" s="75">
        <v>5</v>
      </c>
      <c r="E120" s="87" t="s">
        <v>408</v>
      </c>
      <c r="F120" s="77">
        <f>15000*3.5%+15000</f>
        <v>15525</v>
      </c>
      <c r="G120" s="59">
        <f t="shared" si="1"/>
        <v>77625</v>
      </c>
      <c r="H120" s="56" t="s">
        <v>416</v>
      </c>
      <c r="I120" s="28" t="s">
        <v>417</v>
      </c>
      <c r="J120" s="28" t="s">
        <v>40</v>
      </c>
      <c r="K120" s="28" t="s">
        <v>418</v>
      </c>
    </row>
    <row r="121" spans="1:11" ht="24" x14ac:dyDescent="0.25">
      <c r="A121" s="179">
        <v>118</v>
      </c>
      <c r="B121" s="184" t="s">
        <v>279</v>
      </c>
      <c r="C121" s="181" t="s">
        <v>396</v>
      </c>
      <c r="D121" s="75">
        <v>8</v>
      </c>
      <c r="E121" s="87" t="s">
        <v>397</v>
      </c>
      <c r="F121" s="88">
        <f>22000*3.5%+22000</f>
        <v>22770</v>
      </c>
      <c r="G121" s="59">
        <f t="shared" si="1"/>
        <v>182160</v>
      </c>
      <c r="H121" s="56" t="s">
        <v>416</v>
      </c>
      <c r="I121" s="28" t="s">
        <v>417</v>
      </c>
      <c r="J121" s="28" t="s">
        <v>40</v>
      </c>
      <c r="K121" s="28" t="s">
        <v>418</v>
      </c>
    </row>
    <row r="122" spans="1:11" ht="24" x14ac:dyDescent="0.25">
      <c r="A122" s="179">
        <v>119</v>
      </c>
      <c r="B122" s="184" t="s">
        <v>280</v>
      </c>
      <c r="C122" s="181" t="s">
        <v>396</v>
      </c>
      <c r="D122" s="75">
        <v>10</v>
      </c>
      <c r="E122" s="87" t="s">
        <v>397</v>
      </c>
      <c r="F122" s="88">
        <f>35000*3.5%+35000</f>
        <v>36225</v>
      </c>
      <c r="G122" s="59">
        <f t="shared" si="1"/>
        <v>362250</v>
      </c>
      <c r="H122" s="56" t="s">
        <v>416</v>
      </c>
      <c r="I122" s="28" t="s">
        <v>417</v>
      </c>
      <c r="J122" s="28" t="s">
        <v>40</v>
      </c>
      <c r="K122" s="28" t="s">
        <v>418</v>
      </c>
    </row>
    <row r="123" spans="1:11" ht="24" x14ac:dyDescent="0.25">
      <c r="A123" s="179">
        <v>120</v>
      </c>
      <c r="B123" s="184" t="s">
        <v>281</v>
      </c>
      <c r="C123" s="181" t="s">
        <v>396</v>
      </c>
      <c r="D123" s="75">
        <v>1</v>
      </c>
      <c r="E123" s="87" t="s">
        <v>397</v>
      </c>
      <c r="F123" s="88">
        <f>75000*3.5%+75000</f>
        <v>77625</v>
      </c>
      <c r="G123" s="59">
        <f t="shared" si="1"/>
        <v>77625</v>
      </c>
      <c r="H123" s="56" t="s">
        <v>416</v>
      </c>
      <c r="I123" s="28" t="s">
        <v>417</v>
      </c>
      <c r="J123" s="28" t="s">
        <v>40</v>
      </c>
      <c r="K123" s="28" t="s">
        <v>418</v>
      </c>
    </row>
    <row r="124" spans="1:11" ht="24" x14ac:dyDescent="0.25">
      <c r="A124" s="179">
        <v>121</v>
      </c>
      <c r="B124" s="184" t="s">
        <v>282</v>
      </c>
      <c r="C124" s="181" t="s">
        <v>396</v>
      </c>
      <c r="D124" s="75">
        <v>1</v>
      </c>
      <c r="E124" s="87" t="s">
        <v>397</v>
      </c>
      <c r="F124" s="88">
        <f>18000*3.5%+18000</f>
        <v>18630</v>
      </c>
      <c r="G124" s="59">
        <f t="shared" si="1"/>
        <v>18630</v>
      </c>
      <c r="H124" s="56" t="s">
        <v>416</v>
      </c>
      <c r="I124" s="28" t="s">
        <v>417</v>
      </c>
      <c r="J124" s="28" t="s">
        <v>40</v>
      </c>
      <c r="K124" s="28" t="s">
        <v>418</v>
      </c>
    </row>
    <row r="125" spans="1:11" ht="24" x14ac:dyDescent="0.25">
      <c r="A125" s="179">
        <v>122</v>
      </c>
      <c r="B125" s="184" t="s">
        <v>283</v>
      </c>
      <c r="C125" s="181" t="s">
        <v>396</v>
      </c>
      <c r="D125" s="75">
        <v>1</v>
      </c>
      <c r="E125" s="87" t="s">
        <v>397</v>
      </c>
      <c r="F125" s="77">
        <f>15000*3.5%+15000</f>
        <v>15525</v>
      </c>
      <c r="G125" s="59">
        <f t="shared" si="1"/>
        <v>15525</v>
      </c>
      <c r="H125" s="56" t="s">
        <v>416</v>
      </c>
      <c r="I125" s="28" t="s">
        <v>417</v>
      </c>
      <c r="J125" s="28" t="s">
        <v>40</v>
      </c>
      <c r="K125" s="28" t="s">
        <v>418</v>
      </c>
    </row>
    <row r="126" spans="1:11" ht="24" x14ac:dyDescent="0.25">
      <c r="A126" s="179">
        <v>123</v>
      </c>
      <c r="B126" s="184" t="s">
        <v>284</v>
      </c>
      <c r="C126" s="181" t="s">
        <v>396</v>
      </c>
      <c r="D126" s="75">
        <v>1</v>
      </c>
      <c r="E126" s="87" t="s">
        <v>397</v>
      </c>
      <c r="F126" s="88">
        <f>30000*3.5%+30000</f>
        <v>31050</v>
      </c>
      <c r="G126" s="59">
        <f t="shared" si="1"/>
        <v>31050</v>
      </c>
      <c r="H126" s="56" t="s">
        <v>416</v>
      </c>
      <c r="I126" s="28" t="s">
        <v>417</v>
      </c>
      <c r="J126" s="28" t="s">
        <v>40</v>
      </c>
      <c r="K126" s="28" t="s">
        <v>418</v>
      </c>
    </row>
    <row r="127" spans="1:11" ht="24" x14ac:dyDescent="0.25">
      <c r="A127" s="179">
        <v>124</v>
      </c>
      <c r="B127" s="184" t="s">
        <v>285</v>
      </c>
      <c r="C127" s="181" t="s">
        <v>396</v>
      </c>
      <c r="D127" s="75">
        <v>50</v>
      </c>
      <c r="E127" s="87" t="s">
        <v>397</v>
      </c>
      <c r="F127" s="88">
        <f>10000*3.5%+10000</f>
        <v>10350</v>
      </c>
      <c r="G127" s="59">
        <f t="shared" si="1"/>
        <v>517500</v>
      </c>
      <c r="H127" s="56" t="s">
        <v>416</v>
      </c>
      <c r="I127" s="28" t="s">
        <v>417</v>
      </c>
      <c r="J127" s="28" t="s">
        <v>40</v>
      </c>
      <c r="K127" s="28" t="s">
        <v>418</v>
      </c>
    </row>
    <row r="128" spans="1:11" ht="24" x14ac:dyDescent="0.25">
      <c r="A128" s="179">
        <v>125</v>
      </c>
      <c r="B128" s="184" t="s">
        <v>286</v>
      </c>
      <c r="C128" s="181" t="s">
        <v>396</v>
      </c>
      <c r="D128" s="75">
        <v>50</v>
      </c>
      <c r="E128" s="87" t="s">
        <v>397</v>
      </c>
      <c r="F128" s="88">
        <f>30000*3.5%+30000</f>
        <v>31050</v>
      </c>
      <c r="G128" s="59">
        <f t="shared" si="1"/>
        <v>1552500</v>
      </c>
      <c r="H128" s="56" t="s">
        <v>416</v>
      </c>
      <c r="I128" s="28" t="s">
        <v>417</v>
      </c>
      <c r="J128" s="28" t="s">
        <v>40</v>
      </c>
      <c r="K128" s="28" t="s">
        <v>418</v>
      </c>
    </row>
    <row r="129" spans="1:11" ht="24" x14ac:dyDescent="0.25">
      <c r="A129" s="179">
        <v>126</v>
      </c>
      <c r="B129" s="183" t="s">
        <v>287</v>
      </c>
      <c r="C129" s="181" t="s">
        <v>396</v>
      </c>
      <c r="D129" s="75">
        <v>50</v>
      </c>
      <c r="E129" s="87" t="s">
        <v>397</v>
      </c>
      <c r="F129" s="88">
        <f>18000*3.5%+18000</f>
        <v>18630</v>
      </c>
      <c r="G129" s="59">
        <f t="shared" si="1"/>
        <v>931500</v>
      </c>
      <c r="H129" s="56" t="s">
        <v>416</v>
      </c>
      <c r="I129" s="28" t="s">
        <v>417</v>
      </c>
      <c r="J129" s="28" t="s">
        <v>40</v>
      </c>
      <c r="K129" s="28" t="s">
        <v>418</v>
      </c>
    </row>
    <row r="130" spans="1:11" ht="24" x14ac:dyDescent="0.25">
      <c r="A130" s="179">
        <v>127</v>
      </c>
      <c r="B130" s="183" t="s">
        <v>288</v>
      </c>
      <c r="C130" s="181" t="s">
        <v>396</v>
      </c>
      <c r="D130" s="75">
        <v>50</v>
      </c>
      <c r="E130" s="87" t="s">
        <v>397</v>
      </c>
      <c r="F130" s="88">
        <f>10000*3.5%+10000</f>
        <v>10350</v>
      </c>
      <c r="G130" s="59">
        <f t="shared" si="1"/>
        <v>517500</v>
      </c>
      <c r="H130" s="56" t="s">
        <v>416</v>
      </c>
      <c r="I130" s="28" t="s">
        <v>417</v>
      </c>
      <c r="J130" s="28" t="s">
        <v>40</v>
      </c>
      <c r="K130" s="28" t="s">
        <v>418</v>
      </c>
    </row>
    <row r="131" spans="1:11" ht="24" x14ac:dyDescent="0.25">
      <c r="A131" s="179">
        <v>128</v>
      </c>
      <c r="B131" s="183" t="s">
        <v>289</v>
      </c>
      <c r="C131" s="181" t="s">
        <v>396</v>
      </c>
      <c r="D131" s="75">
        <v>20</v>
      </c>
      <c r="E131" s="87" t="s">
        <v>397</v>
      </c>
      <c r="F131" s="92">
        <f>17000*3.5%+17000</f>
        <v>17595</v>
      </c>
      <c r="G131" s="59">
        <f t="shared" si="1"/>
        <v>351900</v>
      </c>
      <c r="H131" s="56" t="s">
        <v>416</v>
      </c>
      <c r="I131" s="28" t="s">
        <v>417</v>
      </c>
      <c r="J131" s="28" t="s">
        <v>40</v>
      </c>
      <c r="K131" s="28" t="s">
        <v>418</v>
      </c>
    </row>
    <row r="132" spans="1:11" ht="24" x14ac:dyDescent="0.25">
      <c r="A132" s="179">
        <v>129</v>
      </c>
      <c r="B132" s="183" t="s">
        <v>290</v>
      </c>
      <c r="C132" s="181" t="s">
        <v>396</v>
      </c>
      <c r="D132" s="75">
        <v>25</v>
      </c>
      <c r="E132" s="87" t="s">
        <v>397</v>
      </c>
      <c r="F132" s="88">
        <f>88000*3.5%+88000</f>
        <v>91080</v>
      </c>
      <c r="G132" s="59">
        <f t="shared" si="1"/>
        <v>2277000</v>
      </c>
      <c r="H132" s="56" t="s">
        <v>416</v>
      </c>
      <c r="I132" s="28" t="s">
        <v>417</v>
      </c>
      <c r="J132" s="28" t="s">
        <v>40</v>
      </c>
      <c r="K132" s="28" t="s">
        <v>418</v>
      </c>
    </row>
    <row r="133" spans="1:11" ht="24" x14ac:dyDescent="0.25">
      <c r="A133" s="179">
        <v>130</v>
      </c>
      <c r="B133" s="183" t="s">
        <v>291</v>
      </c>
      <c r="C133" s="181" t="s">
        <v>396</v>
      </c>
      <c r="D133" s="75">
        <v>15</v>
      </c>
      <c r="E133" s="87" t="s">
        <v>397</v>
      </c>
      <c r="F133" s="92">
        <v>299000</v>
      </c>
      <c r="G133" s="59">
        <f t="shared" ref="G133:G196" si="3">D133*F133</f>
        <v>4485000</v>
      </c>
      <c r="H133" s="56" t="s">
        <v>416</v>
      </c>
      <c r="I133" s="28" t="s">
        <v>417</v>
      </c>
      <c r="J133" s="28" t="s">
        <v>40</v>
      </c>
      <c r="K133" s="28" t="s">
        <v>418</v>
      </c>
    </row>
    <row r="134" spans="1:11" ht="24" x14ac:dyDescent="0.25">
      <c r="A134" s="179">
        <v>131</v>
      </c>
      <c r="B134" s="183" t="s">
        <v>292</v>
      </c>
      <c r="C134" s="181" t="s">
        <v>396</v>
      </c>
      <c r="D134" s="75">
        <v>3</v>
      </c>
      <c r="E134" s="87" t="s">
        <v>397</v>
      </c>
      <c r="F134" s="88">
        <f>610000*3.5%+610000</f>
        <v>631350</v>
      </c>
      <c r="G134" s="59">
        <f t="shared" si="3"/>
        <v>1894050</v>
      </c>
      <c r="H134" s="56" t="s">
        <v>416</v>
      </c>
      <c r="I134" s="28" t="s">
        <v>417</v>
      </c>
      <c r="J134" s="28" t="s">
        <v>40</v>
      </c>
      <c r="K134" s="28" t="s">
        <v>418</v>
      </c>
    </row>
    <row r="135" spans="1:11" ht="24" x14ac:dyDescent="0.25">
      <c r="A135" s="179">
        <v>132</v>
      </c>
      <c r="B135" s="183" t="s">
        <v>293</v>
      </c>
      <c r="C135" s="181" t="s">
        <v>396</v>
      </c>
      <c r="D135" s="75">
        <v>25</v>
      </c>
      <c r="E135" s="87" t="s">
        <v>397</v>
      </c>
      <c r="F135" s="88">
        <f>10000*3.5%+10000</f>
        <v>10350</v>
      </c>
      <c r="G135" s="59">
        <f t="shared" si="3"/>
        <v>258750</v>
      </c>
      <c r="H135" s="56" t="s">
        <v>416</v>
      </c>
      <c r="I135" s="28" t="s">
        <v>417</v>
      </c>
      <c r="J135" s="28" t="s">
        <v>40</v>
      </c>
      <c r="K135" s="28" t="s">
        <v>418</v>
      </c>
    </row>
    <row r="136" spans="1:11" ht="24" x14ac:dyDescent="0.25">
      <c r="A136" s="179">
        <v>133</v>
      </c>
      <c r="B136" s="183" t="s">
        <v>294</v>
      </c>
      <c r="C136" s="181" t="s">
        <v>396</v>
      </c>
      <c r="D136" s="75">
        <v>50</v>
      </c>
      <c r="E136" s="87" t="s">
        <v>397</v>
      </c>
      <c r="F136" s="88">
        <f>18000*3.5%+18000</f>
        <v>18630</v>
      </c>
      <c r="G136" s="59">
        <f t="shared" si="3"/>
        <v>931500</v>
      </c>
      <c r="H136" s="56" t="s">
        <v>416</v>
      </c>
      <c r="I136" s="28" t="s">
        <v>417</v>
      </c>
      <c r="J136" s="28" t="s">
        <v>40</v>
      </c>
      <c r="K136" s="28" t="s">
        <v>418</v>
      </c>
    </row>
    <row r="137" spans="1:11" ht="24" x14ac:dyDescent="0.25">
      <c r="A137" s="179">
        <v>134</v>
      </c>
      <c r="B137" s="184" t="s">
        <v>1135</v>
      </c>
      <c r="C137" s="181" t="s">
        <v>396</v>
      </c>
      <c r="D137" s="75">
        <v>5</v>
      </c>
      <c r="E137" s="87" t="s">
        <v>409</v>
      </c>
      <c r="F137" s="88">
        <f>19000*3.5%+19000</f>
        <v>19665</v>
      </c>
      <c r="G137" s="59">
        <f t="shared" si="3"/>
        <v>98325</v>
      </c>
      <c r="H137" s="56" t="s">
        <v>416</v>
      </c>
      <c r="I137" s="28" t="s">
        <v>417</v>
      </c>
      <c r="J137" s="28" t="s">
        <v>40</v>
      </c>
      <c r="K137" s="28" t="s">
        <v>418</v>
      </c>
    </row>
    <row r="138" spans="1:11" ht="24" x14ac:dyDescent="0.25">
      <c r="A138" s="179">
        <v>135</v>
      </c>
      <c r="B138" s="184" t="s">
        <v>295</v>
      </c>
      <c r="C138" s="181" t="s">
        <v>396</v>
      </c>
      <c r="D138" s="75">
        <v>15</v>
      </c>
      <c r="E138" s="87" t="s">
        <v>409</v>
      </c>
      <c r="F138" s="88">
        <f>4500*3.5%+4500</f>
        <v>4657.5</v>
      </c>
      <c r="G138" s="59">
        <f t="shared" si="3"/>
        <v>69862.5</v>
      </c>
      <c r="H138" s="56" t="s">
        <v>416</v>
      </c>
      <c r="I138" s="28" t="s">
        <v>417</v>
      </c>
      <c r="J138" s="28" t="s">
        <v>40</v>
      </c>
      <c r="K138" s="28" t="s">
        <v>418</v>
      </c>
    </row>
    <row r="139" spans="1:11" ht="24" x14ac:dyDescent="0.25">
      <c r="A139" s="179">
        <v>136</v>
      </c>
      <c r="B139" s="184" t="s">
        <v>296</v>
      </c>
      <c r="C139" s="181" t="s">
        <v>396</v>
      </c>
      <c r="D139" s="75">
        <v>10</v>
      </c>
      <c r="E139" s="87" t="s">
        <v>409</v>
      </c>
      <c r="F139" s="88">
        <f>15000*3.5%+15000</f>
        <v>15525</v>
      </c>
      <c r="G139" s="59">
        <f t="shared" si="3"/>
        <v>155250</v>
      </c>
      <c r="H139" s="56" t="s">
        <v>416</v>
      </c>
      <c r="I139" s="28" t="s">
        <v>417</v>
      </c>
      <c r="J139" s="28" t="s">
        <v>40</v>
      </c>
      <c r="K139" s="28" t="s">
        <v>418</v>
      </c>
    </row>
    <row r="140" spans="1:11" ht="24" x14ac:dyDescent="0.25">
      <c r="A140" s="179">
        <v>137</v>
      </c>
      <c r="B140" s="184" t="s">
        <v>297</v>
      </c>
      <c r="C140" s="181" t="s">
        <v>396</v>
      </c>
      <c r="D140" s="75">
        <v>5</v>
      </c>
      <c r="E140" s="87" t="s">
        <v>410</v>
      </c>
      <c r="F140" s="88">
        <f>25000*3.5%+25000</f>
        <v>25875</v>
      </c>
      <c r="G140" s="59">
        <f t="shared" si="3"/>
        <v>129375</v>
      </c>
      <c r="H140" s="56" t="s">
        <v>416</v>
      </c>
      <c r="I140" s="28" t="s">
        <v>417</v>
      </c>
      <c r="J140" s="28" t="s">
        <v>40</v>
      </c>
      <c r="K140" s="28" t="s">
        <v>418</v>
      </c>
    </row>
    <row r="141" spans="1:11" ht="24" x14ac:dyDescent="0.25">
      <c r="A141" s="179">
        <v>138</v>
      </c>
      <c r="B141" s="184" t="s">
        <v>298</v>
      </c>
      <c r="C141" s="181" t="s">
        <v>396</v>
      </c>
      <c r="D141" s="75">
        <v>5</v>
      </c>
      <c r="E141" s="87" t="s">
        <v>410</v>
      </c>
      <c r="F141" s="88">
        <f>7000*3.5%+7000</f>
        <v>7245</v>
      </c>
      <c r="G141" s="59">
        <f t="shared" si="3"/>
        <v>36225</v>
      </c>
      <c r="H141" s="56" t="s">
        <v>416</v>
      </c>
      <c r="I141" s="28" t="s">
        <v>417</v>
      </c>
      <c r="J141" s="28" t="s">
        <v>40</v>
      </c>
      <c r="K141" s="28" t="s">
        <v>418</v>
      </c>
    </row>
    <row r="142" spans="1:11" ht="24" x14ac:dyDescent="0.25">
      <c r="A142" s="179">
        <v>139</v>
      </c>
      <c r="B142" s="184" t="s">
        <v>299</v>
      </c>
      <c r="C142" s="181" t="s">
        <v>396</v>
      </c>
      <c r="D142" s="75">
        <v>50</v>
      </c>
      <c r="E142" s="87" t="s">
        <v>397</v>
      </c>
      <c r="F142" s="88">
        <f>3000*3.5%+3000</f>
        <v>3105</v>
      </c>
      <c r="G142" s="59">
        <f t="shared" si="3"/>
        <v>155250</v>
      </c>
      <c r="H142" s="56" t="s">
        <v>416</v>
      </c>
      <c r="I142" s="28" t="s">
        <v>417</v>
      </c>
      <c r="J142" s="28" t="s">
        <v>40</v>
      </c>
      <c r="K142" s="28" t="s">
        <v>418</v>
      </c>
    </row>
    <row r="143" spans="1:11" ht="24" x14ac:dyDescent="0.25">
      <c r="A143" s="179">
        <v>140</v>
      </c>
      <c r="B143" s="183" t="s">
        <v>300</v>
      </c>
      <c r="C143" s="181" t="s">
        <v>396</v>
      </c>
      <c r="D143" s="75">
        <v>50</v>
      </c>
      <c r="E143" s="87" t="s">
        <v>397</v>
      </c>
      <c r="F143" s="88">
        <f>3000*3.5%+3000</f>
        <v>3105</v>
      </c>
      <c r="G143" s="59">
        <f t="shared" si="3"/>
        <v>155250</v>
      </c>
      <c r="H143" s="56" t="s">
        <v>416</v>
      </c>
      <c r="I143" s="28" t="s">
        <v>417</v>
      </c>
      <c r="J143" s="28" t="s">
        <v>40</v>
      </c>
      <c r="K143" s="28" t="s">
        <v>418</v>
      </c>
    </row>
    <row r="144" spans="1:11" ht="24" x14ac:dyDescent="0.25">
      <c r="A144" s="179">
        <v>141</v>
      </c>
      <c r="B144" s="184" t="s">
        <v>301</v>
      </c>
      <c r="C144" s="181" t="s">
        <v>396</v>
      </c>
      <c r="D144" s="75">
        <v>50</v>
      </c>
      <c r="E144" s="87" t="s">
        <v>397</v>
      </c>
      <c r="F144" s="88">
        <f>8500*3.5%+8500</f>
        <v>8797.5</v>
      </c>
      <c r="G144" s="59">
        <f t="shared" si="3"/>
        <v>439875</v>
      </c>
      <c r="H144" s="56" t="s">
        <v>416</v>
      </c>
      <c r="I144" s="28" t="s">
        <v>417</v>
      </c>
      <c r="J144" s="28" t="s">
        <v>40</v>
      </c>
      <c r="K144" s="28" t="s">
        <v>418</v>
      </c>
    </row>
    <row r="145" spans="1:11" ht="24" x14ac:dyDescent="0.25">
      <c r="A145" s="179">
        <v>142</v>
      </c>
      <c r="B145" s="184" t="s">
        <v>302</v>
      </c>
      <c r="C145" s="181" t="s">
        <v>396</v>
      </c>
      <c r="D145" s="75">
        <v>5</v>
      </c>
      <c r="E145" s="87" t="s">
        <v>400</v>
      </c>
      <c r="F145" s="88">
        <f>140000*3.5%+140000</f>
        <v>144900</v>
      </c>
      <c r="G145" s="59">
        <f t="shared" si="3"/>
        <v>724500</v>
      </c>
      <c r="H145" s="56" t="s">
        <v>416</v>
      </c>
      <c r="I145" s="28" t="s">
        <v>417</v>
      </c>
      <c r="J145" s="28" t="s">
        <v>40</v>
      </c>
      <c r="K145" s="28" t="s">
        <v>418</v>
      </c>
    </row>
    <row r="146" spans="1:11" ht="24" x14ac:dyDescent="0.25">
      <c r="A146" s="179">
        <v>143</v>
      </c>
      <c r="B146" s="184" t="s">
        <v>303</v>
      </c>
      <c r="C146" s="181" t="s">
        <v>396</v>
      </c>
      <c r="D146" s="75">
        <v>5</v>
      </c>
      <c r="E146" s="87" t="s">
        <v>397</v>
      </c>
      <c r="F146" s="88">
        <f>12000*3.5%+12000</f>
        <v>12420</v>
      </c>
      <c r="G146" s="59">
        <f t="shared" si="3"/>
        <v>62100</v>
      </c>
      <c r="H146" s="56" t="s">
        <v>416</v>
      </c>
      <c r="I146" s="28" t="s">
        <v>417</v>
      </c>
      <c r="J146" s="28" t="s">
        <v>40</v>
      </c>
      <c r="K146" s="28" t="s">
        <v>418</v>
      </c>
    </row>
    <row r="147" spans="1:11" ht="24" x14ac:dyDescent="0.25">
      <c r="A147" s="179">
        <v>144</v>
      </c>
      <c r="B147" s="184" t="s">
        <v>304</v>
      </c>
      <c r="C147" s="181" t="s">
        <v>396</v>
      </c>
      <c r="D147" s="75">
        <v>3</v>
      </c>
      <c r="E147" s="87" t="s">
        <v>397</v>
      </c>
      <c r="F147" s="88">
        <f>14000*3.5%+14000</f>
        <v>14490</v>
      </c>
      <c r="G147" s="59">
        <f t="shared" si="3"/>
        <v>43470</v>
      </c>
      <c r="H147" s="56" t="s">
        <v>416</v>
      </c>
      <c r="I147" s="28" t="s">
        <v>417</v>
      </c>
      <c r="J147" s="28" t="s">
        <v>40</v>
      </c>
      <c r="K147" s="28" t="s">
        <v>418</v>
      </c>
    </row>
    <row r="148" spans="1:11" ht="24" x14ac:dyDescent="0.25">
      <c r="A148" s="179">
        <v>145</v>
      </c>
      <c r="B148" s="183" t="s">
        <v>305</v>
      </c>
      <c r="C148" s="181" t="s">
        <v>396</v>
      </c>
      <c r="D148" s="75">
        <v>10</v>
      </c>
      <c r="E148" s="87" t="s">
        <v>407</v>
      </c>
      <c r="F148" s="88">
        <f>50000*3.5%+50000</f>
        <v>51750</v>
      </c>
      <c r="G148" s="59">
        <f t="shared" si="3"/>
        <v>517500</v>
      </c>
      <c r="H148" s="56" t="s">
        <v>416</v>
      </c>
      <c r="I148" s="28" t="s">
        <v>417</v>
      </c>
      <c r="J148" s="28" t="s">
        <v>40</v>
      </c>
      <c r="K148" s="28" t="s">
        <v>418</v>
      </c>
    </row>
    <row r="149" spans="1:11" ht="24" x14ac:dyDescent="0.25">
      <c r="A149" s="179">
        <v>146</v>
      </c>
      <c r="B149" s="183" t="s">
        <v>306</v>
      </c>
      <c r="C149" s="181" t="s">
        <v>396</v>
      </c>
      <c r="D149" s="75">
        <v>3</v>
      </c>
      <c r="E149" s="87" t="s">
        <v>397</v>
      </c>
      <c r="F149" s="88">
        <f>45000*3.5%+45000</f>
        <v>46575</v>
      </c>
      <c r="G149" s="59">
        <f t="shared" si="3"/>
        <v>139725</v>
      </c>
      <c r="H149" s="56" t="s">
        <v>416</v>
      </c>
      <c r="I149" s="28" t="s">
        <v>417</v>
      </c>
      <c r="J149" s="28" t="s">
        <v>40</v>
      </c>
      <c r="K149" s="28" t="s">
        <v>418</v>
      </c>
    </row>
    <row r="150" spans="1:11" ht="24" x14ac:dyDescent="0.25">
      <c r="A150" s="179">
        <v>147</v>
      </c>
      <c r="B150" s="183" t="s">
        <v>307</v>
      </c>
      <c r="C150" s="181" t="s">
        <v>396</v>
      </c>
      <c r="D150" s="75">
        <v>10</v>
      </c>
      <c r="E150" s="87" t="s">
        <v>397</v>
      </c>
      <c r="F150" s="88">
        <f>39000*3.5%+39000</f>
        <v>40365</v>
      </c>
      <c r="G150" s="59">
        <f t="shared" si="3"/>
        <v>403650</v>
      </c>
      <c r="H150" s="56" t="s">
        <v>416</v>
      </c>
      <c r="I150" s="28" t="s">
        <v>417</v>
      </c>
      <c r="J150" s="28" t="s">
        <v>40</v>
      </c>
      <c r="K150" s="28" t="s">
        <v>418</v>
      </c>
    </row>
    <row r="151" spans="1:11" ht="24" x14ac:dyDescent="0.25">
      <c r="A151" s="179">
        <v>148</v>
      </c>
      <c r="B151" s="183" t="s">
        <v>308</v>
      </c>
      <c r="C151" s="181" t="s">
        <v>396</v>
      </c>
      <c r="D151" s="75">
        <v>5</v>
      </c>
      <c r="E151" s="87" t="s">
        <v>397</v>
      </c>
      <c r="F151" s="88">
        <f>249000*3.5%+249000</f>
        <v>257715</v>
      </c>
      <c r="G151" s="59">
        <f t="shared" si="3"/>
        <v>1288575</v>
      </c>
      <c r="H151" s="56" t="s">
        <v>416</v>
      </c>
      <c r="I151" s="28" t="s">
        <v>417</v>
      </c>
      <c r="J151" s="28" t="s">
        <v>40</v>
      </c>
      <c r="K151" s="28" t="s">
        <v>418</v>
      </c>
    </row>
    <row r="152" spans="1:11" ht="24" x14ac:dyDescent="0.25">
      <c r="A152" s="179">
        <v>149</v>
      </c>
      <c r="B152" s="183" t="s">
        <v>309</v>
      </c>
      <c r="C152" s="181" t="s">
        <v>396</v>
      </c>
      <c r="D152" s="75">
        <v>3</v>
      </c>
      <c r="E152" s="75" t="s">
        <v>397</v>
      </c>
      <c r="F152" s="88">
        <f>25000*3.5%+25000</f>
        <v>25875</v>
      </c>
      <c r="G152" s="59">
        <f t="shared" si="3"/>
        <v>77625</v>
      </c>
      <c r="H152" s="56" t="s">
        <v>416</v>
      </c>
      <c r="I152" s="28" t="s">
        <v>417</v>
      </c>
      <c r="J152" s="28" t="s">
        <v>40</v>
      </c>
      <c r="K152" s="28" t="s">
        <v>418</v>
      </c>
    </row>
    <row r="153" spans="1:11" ht="24" x14ac:dyDescent="0.25">
      <c r="A153" s="179">
        <v>150</v>
      </c>
      <c r="B153" s="183" t="s">
        <v>310</v>
      </c>
      <c r="C153" s="181" t="s">
        <v>396</v>
      </c>
      <c r="D153" s="75">
        <v>3</v>
      </c>
      <c r="E153" s="75" t="s">
        <v>397</v>
      </c>
      <c r="F153" s="88">
        <f>5000*3.5%+5000</f>
        <v>5175</v>
      </c>
      <c r="G153" s="59">
        <f t="shared" si="3"/>
        <v>15525</v>
      </c>
      <c r="H153" s="56" t="s">
        <v>416</v>
      </c>
      <c r="I153" s="28" t="s">
        <v>417</v>
      </c>
      <c r="J153" s="28" t="s">
        <v>40</v>
      </c>
      <c r="K153" s="28" t="s">
        <v>418</v>
      </c>
    </row>
    <row r="154" spans="1:11" ht="24" x14ac:dyDescent="0.25">
      <c r="A154" s="179">
        <v>151</v>
      </c>
      <c r="B154" s="183" t="s">
        <v>311</v>
      </c>
      <c r="C154" s="181" t="s">
        <v>396</v>
      </c>
      <c r="D154" s="75">
        <v>2</v>
      </c>
      <c r="E154" s="87" t="s">
        <v>397</v>
      </c>
      <c r="F154" s="88">
        <f>6000*3.5%+6000</f>
        <v>6210</v>
      </c>
      <c r="G154" s="59">
        <f t="shared" si="3"/>
        <v>12420</v>
      </c>
      <c r="H154" s="56" t="s">
        <v>416</v>
      </c>
      <c r="I154" s="28" t="s">
        <v>417</v>
      </c>
      <c r="J154" s="28" t="s">
        <v>40</v>
      </c>
      <c r="K154" s="28" t="s">
        <v>418</v>
      </c>
    </row>
    <row r="155" spans="1:11" ht="24" x14ac:dyDescent="0.25">
      <c r="A155" s="179">
        <v>152</v>
      </c>
      <c r="B155" s="183" t="s">
        <v>312</v>
      </c>
      <c r="C155" s="181" t="s">
        <v>396</v>
      </c>
      <c r="D155" s="75">
        <v>15</v>
      </c>
      <c r="E155" s="87" t="s">
        <v>397</v>
      </c>
      <c r="F155" s="88">
        <f>18000*3.5%+18000</f>
        <v>18630</v>
      </c>
      <c r="G155" s="59">
        <f t="shared" si="3"/>
        <v>279450</v>
      </c>
      <c r="H155" s="56" t="s">
        <v>416</v>
      </c>
      <c r="I155" s="28" t="s">
        <v>417</v>
      </c>
      <c r="J155" s="28" t="s">
        <v>40</v>
      </c>
      <c r="K155" s="28" t="s">
        <v>418</v>
      </c>
    </row>
    <row r="156" spans="1:11" ht="24" x14ac:dyDescent="0.25">
      <c r="A156" s="179">
        <v>153</v>
      </c>
      <c r="B156" s="183" t="s">
        <v>1136</v>
      </c>
      <c r="C156" s="181" t="s">
        <v>396</v>
      </c>
      <c r="D156" s="75">
        <v>5</v>
      </c>
      <c r="E156" s="87" t="s">
        <v>407</v>
      </c>
      <c r="F156" s="88">
        <f>22000*3.5%+22000</f>
        <v>22770</v>
      </c>
      <c r="G156" s="59">
        <f t="shared" si="3"/>
        <v>113850</v>
      </c>
      <c r="H156" s="56" t="s">
        <v>416</v>
      </c>
      <c r="I156" s="28" t="s">
        <v>417</v>
      </c>
      <c r="J156" s="28" t="s">
        <v>40</v>
      </c>
      <c r="K156" s="28" t="s">
        <v>418</v>
      </c>
    </row>
    <row r="157" spans="1:11" ht="24" x14ac:dyDescent="0.25">
      <c r="A157" s="179">
        <v>154</v>
      </c>
      <c r="B157" s="183" t="s">
        <v>313</v>
      </c>
      <c r="C157" s="181" t="s">
        <v>396</v>
      </c>
      <c r="D157" s="75">
        <v>20</v>
      </c>
      <c r="E157" s="87" t="s">
        <v>397</v>
      </c>
      <c r="F157" s="88">
        <v>7000</v>
      </c>
      <c r="G157" s="59">
        <f t="shared" si="3"/>
        <v>140000</v>
      </c>
      <c r="H157" s="56" t="s">
        <v>416</v>
      </c>
      <c r="I157" s="28" t="s">
        <v>417</v>
      </c>
      <c r="J157" s="28" t="s">
        <v>40</v>
      </c>
      <c r="K157" s="28" t="s">
        <v>418</v>
      </c>
    </row>
    <row r="158" spans="1:11" ht="24" x14ac:dyDescent="0.25">
      <c r="A158" s="179">
        <v>155</v>
      </c>
      <c r="B158" s="184" t="s">
        <v>314</v>
      </c>
      <c r="C158" s="181" t="s">
        <v>396</v>
      </c>
      <c r="D158" s="75">
        <v>3</v>
      </c>
      <c r="E158" s="87" t="s">
        <v>397</v>
      </c>
      <c r="F158" s="88">
        <f>25000*3.5%+25000</f>
        <v>25875</v>
      </c>
      <c r="G158" s="59">
        <f t="shared" si="3"/>
        <v>77625</v>
      </c>
      <c r="H158" s="56" t="s">
        <v>416</v>
      </c>
      <c r="I158" s="28" t="s">
        <v>417</v>
      </c>
      <c r="J158" s="28" t="s">
        <v>40</v>
      </c>
      <c r="K158" s="28" t="s">
        <v>418</v>
      </c>
    </row>
    <row r="159" spans="1:11" ht="24" x14ac:dyDescent="0.25">
      <c r="A159" s="179">
        <v>156</v>
      </c>
      <c r="B159" s="184" t="s">
        <v>315</v>
      </c>
      <c r="C159" s="181" t="s">
        <v>396</v>
      </c>
      <c r="D159" s="75">
        <v>15</v>
      </c>
      <c r="E159" s="87" t="s">
        <v>407</v>
      </c>
      <c r="F159" s="88">
        <f>50000*3.5%+50000</f>
        <v>51750</v>
      </c>
      <c r="G159" s="59">
        <f t="shared" si="3"/>
        <v>776250</v>
      </c>
      <c r="H159" s="56" t="s">
        <v>416</v>
      </c>
      <c r="I159" s="28" t="s">
        <v>417</v>
      </c>
      <c r="J159" s="28" t="s">
        <v>40</v>
      </c>
      <c r="K159" s="28" t="s">
        <v>418</v>
      </c>
    </row>
    <row r="160" spans="1:11" ht="24" x14ac:dyDescent="0.25">
      <c r="A160" s="179">
        <v>157</v>
      </c>
      <c r="B160" s="184" t="s">
        <v>316</v>
      </c>
      <c r="C160" s="181" t="s">
        <v>396</v>
      </c>
      <c r="D160" s="75">
        <v>15</v>
      </c>
      <c r="E160" s="87" t="s">
        <v>407</v>
      </c>
      <c r="F160" s="88">
        <f>35000*3.5%+35000</f>
        <v>36225</v>
      </c>
      <c r="G160" s="59">
        <f t="shared" si="3"/>
        <v>543375</v>
      </c>
      <c r="H160" s="56" t="s">
        <v>416</v>
      </c>
      <c r="I160" s="28" t="s">
        <v>417</v>
      </c>
      <c r="J160" s="28" t="s">
        <v>40</v>
      </c>
      <c r="K160" s="28" t="s">
        <v>418</v>
      </c>
    </row>
    <row r="161" spans="1:11" ht="24" x14ac:dyDescent="0.25">
      <c r="A161" s="179">
        <v>158</v>
      </c>
      <c r="B161" s="184" t="s">
        <v>317</v>
      </c>
      <c r="C161" s="181" t="s">
        <v>396</v>
      </c>
      <c r="D161" s="75">
        <v>15</v>
      </c>
      <c r="E161" s="87" t="s">
        <v>407</v>
      </c>
      <c r="F161" s="88">
        <f>70000*3.5%+70000</f>
        <v>72450</v>
      </c>
      <c r="G161" s="59">
        <f t="shared" si="3"/>
        <v>1086750</v>
      </c>
      <c r="H161" s="56" t="s">
        <v>416</v>
      </c>
      <c r="I161" s="28" t="s">
        <v>417</v>
      </c>
      <c r="J161" s="28" t="s">
        <v>40</v>
      </c>
      <c r="K161" s="28" t="s">
        <v>418</v>
      </c>
    </row>
    <row r="162" spans="1:11" ht="24" x14ac:dyDescent="0.25">
      <c r="A162" s="179">
        <v>159</v>
      </c>
      <c r="B162" s="184" t="s">
        <v>318</v>
      </c>
      <c r="C162" s="181" t="s">
        <v>396</v>
      </c>
      <c r="D162" s="75">
        <v>15</v>
      </c>
      <c r="E162" s="87" t="s">
        <v>411</v>
      </c>
      <c r="F162" s="88">
        <f>59000*3.5%+59000</f>
        <v>61065</v>
      </c>
      <c r="G162" s="59">
        <f t="shared" si="3"/>
        <v>915975</v>
      </c>
      <c r="H162" s="56" t="s">
        <v>416</v>
      </c>
      <c r="I162" s="28" t="s">
        <v>417</v>
      </c>
      <c r="J162" s="28" t="s">
        <v>40</v>
      </c>
      <c r="K162" s="28" t="s">
        <v>418</v>
      </c>
    </row>
    <row r="163" spans="1:11" ht="24" x14ac:dyDescent="0.25">
      <c r="A163" s="179">
        <v>160</v>
      </c>
      <c r="B163" s="184" t="s">
        <v>319</v>
      </c>
      <c r="C163" s="181" t="s">
        <v>396</v>
      </c>
      <c r="D163" s="75">
        <v>15</v>
      </c>
      <c r="E163" s="87" t="s">
        <v>401</v>
      </c>
      <c r="F163" s="88">
        <f>200000*3.5%+200000</f>
        <v>207000</v>
      </c>
      <c r="G163" s="59">
        <f t="shared" si="3"/>
        <v>3105000</v>
      </c>
      <c r="H163" s="56" t="s">
        <v>416</v>
      </c>
      <c r="I163" s="28" t="s">
        <v>417</v>
      </c>
      <c r="J163" s="28" t="s">
        <v>40</v>
      </c>
      <c r="K163" s="28" t="s">
        <v>418</v>
      </c>
    </row>
    <row r="164" spans="1:11" ht="24" x14ac:dyDescent="0.25">
      <c r="A164" s="179">
        <v>161</v>
      </c>
      <c r="B164" s="184" t="s">
        <v>320</v>
      </c>
      <c r="C164" s="181" t="s">
        <v>396</v>
      </c>
      <c r="D164" s="75">
        <v>15</v>
      </c>
      <c r="E164" s="87" t="s">
        <v>407</v>
      </c>
      <c r="F164" s="88">
        <f t="shared" ref="F164:F167" si="4">40000*3.5%+40000</f>
        <v>41400</v>
      </c>
      <c r="G164" s="59">
        <f t="shared" si="3"/>
        <v>621000</v>
      </c>
      <c r="H164" s="56" t="s">
        <v>416</v>
      </c>
      <c r="I164" s="28" t="s">
        <v>417</v>
      </c>
      <c r="J164" s="28" t="s">
        <v>40</v>
      </c>
      <c r="K164" s="28" t="s">
        <v>418</v>
      </c>
    </row>
    <row r="165" spans="1:11" ht="24" x14ac:dyDescent="0.25">
      <c r="A165" s="179">
        <v>162</v>
      </c>
      <c r="B165" s="184" t="s">
        <v>321</v>
      </c>
      <c r="C165" s="181" t="s">
        <v>396</v>
      </c>
      <c r="D165" s="75">
        <v>15</v>
      </c>
      <c r="E165" s="87" t="s">
        <v>407</v>
      </c>
      <c r="F165" s="88">
        <f t="shared" si="4"/>
        <v>41400</v>
      </c>
      <c r="G165" s="59">
        <f t="shared" si="3"/>
        <v>621000</v>
      </c>
      <c r="H165" s="56" t="s">
        <v>416</v>
      </c>
      <c r="I165" s="28" t="s">
        <v>417</v>
      </c>
      <c r="J165" s="28" t="s">
        <v>40</v>
      </c>
      <c r="K165" s="28" t="s">
        <v>418</v>
      </c>
    </row>
    <row r="166" spans="1:11" ht="24" x14ac:dyDescent="0.25">
      <c r="A166" s="179">
        <v>163</v>
      </c>
      <c r="B166" s="184" t="s">
        <v>322</v>
      </c>
      <c r="C166" s="181" t="s">
        <v>396</v>
      </c>
      <c r="D166" s="75">
        <v>15</v>
      </c>
      <c r="E166" s="87" t="s">
        <v>407</v>
      </c>
      <c r="F166" s="88">
        <f t="shared" si="4"/>
        <v>41400</v>
      </c>
      <c r="G166" s="59">
        <f t="shared" si="3"/>
        <v>621000</v>
      </c>
      <c r="H166" s="56" t="s">
        <v>416</v>
      </c>
      <c r="I166" s="28" t="s">
        <v>417</v>
      </c>
      <c r="J166" s="28" t="s">
        <v>40</v>
      </c>
      <c r="K166" s="28" t="s">
        <v>418</v>
      </c>
    </row>
    <row r="167" spans="1:11" ht="24" x14ac:dyDescent="0.25">
      <c r="A167" s="179">
        <v>164</v>
      </c>
      <c r="B167" s="184" t="s">
        <v>323</v>
      </c>
      <c r="C167" s="181" t="s">
        <v>396</v>
      </c>
      <c r="D167" s="75">
        <v>15</v>
      </c>
      <c r="E167" s="87" t="s">
        <v>407</v>
      </c>
      <c r="F167" s="88">
        <f t="shared" si="4"/>
        <v>41400</v>
      </c>
      <c r="G167" s="59">
        <f t="shared" si="3"/>
        <v>621000</v>
      </c>
      <c r="H167" s="56" t="s">
        <v>416</v>
      </c>
      <c r="I167" s="28" t="s">
        <v>417</v>
      </c>
      <c r="J167" s="28" t="s">
        <v>40</v>
      </c>
      <c r="K167" s="28" t="s">
        <v>418</v>
      </c>
    </row>
    <row r="168" spans="1:11" ht="24" x14ac:dyDescent="0.25">
      <c r="A168" s="179">
        <v>165</v>
      </c>
      <c r="B168" s="184" t="s">
        <v>1137</v>
      </c>
      <c r="C168" s="181" t="s">
        <v>396</v>
      </c>
      <c r="D168" s="75">
        <v>15</v>
      </c>
      <c r="E168" s="87" t="s">
        <v>401</v>
      </c>
      <c r="F168" s="88">
        <f>195000*3.5%+195000</f>
        <v>201825</v>
      </c>
      <c r="G168" s="59">
        <f t="shared" si="3"/>
        <v>3027375</v>
      </c>
      <c r="H168" s="56" t="s">
        <v>416</v>
      </c>
      <c r="I168" s="28" t="s">
        <v>417</v>
      </c>
      <c r="J168" s="28" t="s">
        <v>40</v>
      </c>
      <c r="K168" s="28" t="s">
        <v>418</v>
      </c>
    </row>
    <row r="169" spans="1:11" ht="24" x14ac:dyDescent="0.25">
      <c r="A169" s="179">
        <v>166</v>
      </c>
      <c r="B169" s="184" t="s">
        <v>324</v>
      </c>
      <c r="C169" s="181" t="s">
        <v>396</v>
      </c>
      <c r="D169" s="75">
        <v>15</v>
      </c>
      <c r="E169" s="87" t="s">
        <v>407</v>
      </c>
      <c r="F169" s="88">
        <f>40000*3.5%+40000</f>
        <v>41400</v>
      </c>
      <c r="G169" s="59">
        <f t="shared" si="3"/>
        <v>621000</v>
      </c>
      <c r="H169" s="56" t="s">
        <v>416</v>
      </c>
      <c r="I169" s="28" t="s">
        <v>417</v>
      </c>
      <c r="J169" s="28" t="s">
        <v>40</v>
      </c>
      <c r="K169" s="28" t="s">
        <v>418</v>
      </c>
    </row>
    <row r="170" spans="1:11" ht="24" x14ac:dyDescent="0.25">
      <c r="A170" s="179">
        <v>167</v>
      </c>
      <c r="B170" s="184" t="s">
        <v>325</v>
      </c>
      <c r="C170" s="181" t="s">
        <v>396</v>
      </c>
      <c r="D170" s="75">
        <v>15</v>
      </c>
      <c r="E170" s="87" t="s">
        <v>407</v>
      </c>
      <c r="F170" s="88">
        <f>70000*3.5%+70000</f>
        <v>72450</v>
      </c>
      <c r="G170" s="59">
        <f t="shared" si="3"/>
        <v>1086750</v>
      </c>
      <c r="H170" s="56" t="s">
        <v>416</v>
      </c>
      <c r="I170" s="28" t="s">
        <v>417</v>
      </c>
      <c r="J170" s="28" t="s">
        <v>40</v>
      </c>
      <c r="K170" s="28" t="s">
        <v>418</v>
      </c>
    </row>
    <row r="171" spans="1:11" ht="24" x14ac:dyDescent="0.25">
      <c r="A171" s="179">
        <v>168</v>
      </c>
      <c r="B171" s="184" t="s">
        <v>326</v>
      </c>
      <c r="C171" s="181" t="s">
        <v>396</v>
      </c>
      <c r="D171" s="75">
        <v>15</v>
      </c>
      <c r="E171" s="87" t="s">
        <v>407</v>
      </c>
      <c r="F171" s="88">
        <f>40000*3.5%+40000</f>
        <v>41400</v>
      </c>
      <c r="G171" s="59">
        <f t="shared" si="3"/>
        <v>621000</v>
      </c>
      <c r="H171" s="56" t="s">
        <v>416</v>
      </c>
      <c r="I171" s="28" t="s">
        <v>417</v>
      </c>
      <c r="J171" s="28" t="s">
        <v>40</v>
      </c>
      <c r="K171" s="28" t="s">
        <v>418</v>
      </c>
    </row>
    <row r="172" spans="1:11" ht="24" x14ac:dyDescent="0.25">
      <c r="A172" s="179">
        <v>169</v>
      </c>
      <c r="B172" s="184" t="s">
        <v>327</v>
      </c>
      <c r="C172" s="181" t="s">
        <v>396</v>
      </c>
      <c r="D172" s="75">
        <v>15</v>
      </c>
      <c r="E172" s="87" t="s">
        <v>407</v>
      </c>
      <c r="F172" s="88">
        <f>70000*3.5%+70000</f>
        <v>72450</v>
      </c>
      <c r="G172" s="59">
        <f t="shared" si="3"/>
        <v>1086750</v>
      </c>
      <c r="H172" s="56" t="s">
        <v>416</v>
      </c>
      <c r="I172" s="28" t="s">
        <v>417</v>
      </c>
      <c r="J172" s="28" t="s">
        <v>40</v>
      </c>
      <c r="K172" s="28" t="s">
        <v>418</v>
      </c>
    </row>
    <row r="173" spans="1:11" ht="24" x14ac:dyDescent="0.25">
      <c r="A173" s="179">
        <v>170</v>
      </c>
      <c r="B173" s="184" t="s">
        <v>328</v>
      </c>
      <c r="C173" s="181" t="s">
        <v>396</v>
      </c>
      <c r="D173" s="75">
        <v>5</v>
      </c>
      <c r="E173" s="87" t="s">
        <v>397</v>
      </c>
      <c r="F173" s="88">
        <f>25000*3.5%+25000</f>
        <v>25875</v>
      </c>
      <c r="G173" s="59">
        <f t="shared" si="3"/>
        <v>129375</v>
      </c>
      <c r="H173" s="56" t="s">
        <v>416</v>
      </c>
      <c r="I173" s="28" t="s">
        <v>417</v>
      </c>
      <c r="J173" s="28" t="s">
        <v>40</v>
      </c>
      <c r="K173" s="28" t="s">
        <v>418</v>
      </c>
    </row>
    <row r="174" spans="1:11" ht="24" x14ac:dyDescent="0.25">
      <c r="A174" s="179">
        <v>171</v>
      </c>
      <c r="B174" s="184" t="s">
        <v>329</v>
      </c>
      <c r="C174" s="181" t="s">
        <v>396</v>
      </c>
      <c r="D174" s="75">
        <v>8</v>
      </c>
      <c r="E174" s="87" t="s">
        <v>397</v>
      </c>
      <c r="F174" s="77">
        <f>15000*3.5%+15000</f>
        <v>15525</v>
      </c>
      <c r="G174" s="59">
        <f t="shared" si="3"/>
        <v>124200</v>
      </c>
      <c r="H174" s="56" t="s">
        <v>416</v>
      </c>
      <c r="I174" s="28" t="s">
        <v>417</v>
      </c>
      <c r="J174" s="28" t="s">
        <v>40</v>
      </c>
      <c r="K174" s="28" t="s">
        <v>418</v>
      </c>
    </row>
    <row r="175" spans="1:11" ht="24" x14ac:dyDescent="0.25">
      <c r="A175" s="179">
        <v>172</v>
      </c>
      <c r="B175" s="184" t="s">
        <v>330</v>
      </c>
      <c r="C175" s="181" t="s">
        <v>396</v>
      </c>
      <c r="D175" s="75">
        <v>2</v>
      </c>
      <c r="E175" s="87"/>
      <c r="F175" s="88">
        <f>35000*3.5%+35000</f>
        <v>36225</v>
      </c>
      <c r="G175" s="59">
        <f t="shared" si="3"/>
        <v>72450</v>
      </c>
      <c r="H175" s="56" t="s">
        <v>416</v>
      </c>
      <c r="I175" s="28" t="s">
        <v>417</v>
      </c>
      <c r="J175" s="28" t="s">
        <v>40</v>
      </c>
      <c r="K175" s="28" t="s">
        <v>418</v>
      </c>
    </row>
    <row r="176" spans="1:11" ht="24" x14ac:dyDescent="0.25">
      <c r="A176" s="179">
        <v>173</v>
      </c>
      <c r="B176" s="184" t="s">
        <v>331</v>
      </c>
      <c r="C176" s="181" t="s">
        <v>396</v>
      </c>
      <c r="D176" s="75">
        <v>2</v>
      </c>
      <c r="E176" s="87" t="s">
        <v>397</v>
      </c>
      <c r="F176" s="88">
        <f>35000*3.5%+35000</f>
        <v>36225</v>
      </c>
      <c r="G176" s="59">
        <f t="shared" si="3"/>
        <v>72450</v>
      </c>
      <c r="H176" s="56" t="s">
        <v>416</v>
      </c>
      <c r="I176" s="28" t="s">
        <v>417</v>
      </c>
      <c r="J176" s="28" t="s">
        <v>40</v>
      </c>
      <c r="K176" s="28" t="s">
        <v>418</v>
      </c>
    </row>
    <row r="177" spans="1:11" ht="24" x14ac:dyDescent="0.25">
      <c r="A177" s="179">
        <v>174</v>
      </c>
      <c r="B177" s="184" t="s">
        <v>332</v>
      </c>
      <c r="C177" s="181" t="s">
        <v>396</v>
      </c>
      <c r="D177" s="75">
        <v>2</v>
      </c>
      <c r="E177" s="87" t="s">
        <v>397</v>
      </c>
      <c r="F177" s="77">
        <f>15000*3.5%+15000</f>
        <v>15525</v>
      </c>
      <c r="G177" s="59">
        <f t="shared" si="3"/>
        <v>31050</v>
      </c>
      <c r="H177" s="56" t="s">
        <v>416</v>
      </c>
      <c r="I177" s="28" t="s">
        <v>417</v>
      </c>
      <c r="J177" s="28" t="s">
        <v>40</v>
      </c>
      <c r="K177" s="28" t="s">
        <v>418</v>
      </c>
    </row>
    <row r="178" spans="1:11" ht="24" x14ac:dyDescent="0.25">
      <c r="A178" s="179">
        <v>175</v>
      </c>
      <c r="B178" s="184" t="s">
        <v>333</v>
      </c>
      <c r="C178" s="181" t="s">
        <v>396</v>
      </c>
      <c r="D178" s="75">
        <v>2</v>
      </c>
      <c r="E178" s="87" t="s">
        <v>397</v>
      </c>
      <c r="F178" s="88">
        <f>65000*3.5%+65000</f>
        <v>67275</v>
      </c>
      <c r="G178" s="59">
        <f t="shared" si="3"/>
        <v>134550</v>
      </c>
      <c r="H178" s="56" t="s">
        <v>416</v>
      </c>
      <c r="I178" s="28" t="s">
        <v>417</v>
      </c>
      <c r="J178" s="28" t="s">
        <v>40</v>
      </c>
      <c r="K178" s="28" t="s">
        <v>418</v>
      </c>
    </row>
    <row r="179" spans="1:11" ht="24" x14ac:dyDescent="0.25">
      <c r="A179" s="179">
        <v>176</v>
      </c>
      <c r="B179" s="184" t="s">
        <v>334</v>
      </c>
      <c r="C179" s="181" t="s">
        <v>396</v>
      </c>
      <c r="D179" s="75">
        <v>2</v>
      </c>
      <c r="E179" s="87" t="s">
        <v>397</v>
      </c>
      <c r="F179" s="88">
        <f>85000*3.5%+85000</f>
        <v>87975</v>
      </c>
      <c r="G179" s="59">
        <f t="shared" si="3"/>
        <v>175950</v>
      </c>
      <c r="H179" s="56" t="s">
        <v>416</v>
      </c>
      <c r="I179" s="28" t="s">
        <v>417</v>
      </c>
      <c r="J179" s="28" t="s">
        <v>40</v>
      </c>
      <c r="K179" s="28" t="s">
        <v>418</v>
      </c>
    </row>
    <row r="180" spans="1:11" ht="24" x14ac:dyDescent="0.25">
      <c r="A180" s="179">
        <v>177</v>
      </c>
      <c r="B180" s="184" t="s">
        <v>335</v>
      </c>
      <c r="C180" s="181" t="s">
        <v>396</v>
      </c>
      <c r="D180" s="75">
        <v>2</v>
      </c>
      <c r="E180" s="87" t="s">
        <v>397</v>
      </c>
      <c r="F180" s="88">
        <f>250000*3.5%+250000</f>
        <v>258750</v>
      </c>
      <c r="G180" s="59">
        <f t="shared" si="3"/>
        <v>517500</v>
      </c>
      <c r="H180" s="56" t="s">
        <v>416</v>
      </c>
      <c r="I180" s="28" t="s">
        <v>417</v>
      </c>
      <c r="J180" s="28" t="s">
        <v>40</v>
      </c>
      <c r="K180" s="28" t="s">
        <v>418</v>
      </c>
    </row>
    <row r="181" spans="1:11" ht="24" x14ac:dyDescent="0.25">
      <c r="A181" s="179">
        <v>178</v>
      </c>
      <c r="B181" s="184" t="s">
        <v>336</v>
      </c>
      <c r="C181" s="181" t="s">
        <v>396</v>
      </c>
      <c r="D181" s="75">
        <v>5</v>
      </c>
      <c r="E181" s="87" t="s">
        <v>412</v>
      </c>
      <c r="F181" s="88">
        <f>2400*3.5%+2400</f>
        <v>2484</v>
      </c>
      <c r="G181" s="59">
        <f t="shared" si="3"/>
        <v>12420</v>
      </c>
      <c r="H181" s="56" t="s">
        <v>416</v>
      </c>
      <c r="I181" s="28" t="s">
        <v>417</v>
      </c>
      <c r="J181" s="28" t="s">
        <v>40</v>
      </c>
      <c r="K181" s="28" t="s">
        <v>418</v>
      </c>
    </row>
    <row r="182" spans="1:11" ht="24" x14ac:dyDescent="0.25">
      <c r="A182" s="179">
        <v>179</v>
      </c>
      <c r="B182" s="184" t="s">
        <v>337</v>
      </c>
      <c r="C182" s="181" t="s">
        <v>396</v>
      </c>
      <c r="D182" s="75">
        <v>5</v>
      </c>
      <c r="E182" s="87" t="s">
        <v>412</v>
      </c>
      <c r="F182" s="88">
        <f>3500*3.5%+3500</f>
        <v>3622.5</v>
      </c>
      <c r="G182" s="59">
        <f t="shared" si="3"/>
        <v>18112.5</v>
      </c>
      <c r="H182" s="56" t="s">
        <v>416</v>
      </c>
      <c r="I182" s="28" t="s">
        <v>417</v>
      </c>
      <c r="J182" s="28" t="s">
        <v>40</v>
      </c>
      <c r="K182" s="28" t="s">
        <v>418</v>
      </c>
    </row>
    <row r="183" spans="1:11" ht="24" x14ac:dyDescent="0.25">
      <c r="A183" s="179">
        <v>180</v>
      </c>
      <c r="B183" s="184" t="s">
        <v>338</v>
      </c>
      <c r="C183" s="181" t="s">
        <v>396</v>
      </c>
      <c r="D183" s="75">
        <v>5</v>
      </c>
      <c r="E183" s="87" t="s">
        <v>412</v>
      </c>
      <c r="F183" s="88">
        <f t="shared" ref="F183:F184" si="5">2400*3.5%+2400</f>
        <v>2484</v>
      </c>
      <c r="G183" s="59">
        <f t="shared" si="3"/>
        <v>12420</v>
      </c>
      <c r="H183" s="56" t="s">
        <v>416</v>
      </c>
      <c r="I183" s="28" t="s">
        <v>417</v>
      </c>
      <c r="J183" s="28" t="s">
        <v>40</v>
      </c>
      <c r="K183" s="28" t="s">
        <v>418</v>
      </c>
    </row>
    <row r="184" spans="1:11" ht="24" x14ac:dyDescent="0.25">
      <c r="A184" s="179">
        <v>181</v>
      </c>
      <c r="B184" s="183" t="s">
        <v>339</v>
      </c>
      <c r="C184" s="181" t="s">
        <v>396</v>
      </c>
      <c r="D184" s="75">
        <v>5</v>
      </c>
      <c r="E184" s="87" t="s">
        <v>412</v>
      </c>
      <c r="F184" s="88">
        <f t="shared" si="5"/>
        <v>2484</v>
      </c>
      <c r="G184" s="59">
        <f t="shared" si="3"/>
        <v>12420</v>
      </c>
      <c r="H184" s="56" t="s">
        <v>416</v>
      </c>
      <c r="I184" s="28" t="s">
        <v>417</v>
      </c>
      <c r="J184" s="28" t="s">
        <v>40</v>
      </c>
      <c r="K184" s="28" t="s">
        <v>418</v>
      </c>
    </row>
    <row r="185" spans="1:11" ht="24" x14ac:dyDescent="0.25">
      <c r="A185" s="179">
        <v>182</v>
      </c>
      <c r="B185" s="183" t="s">
        <v>340</v>
      </c>
      <c r="C185" s="181" t="s">
        <v>396</v>
      </c>
      <c r="D185" s="75">
        <v>5</v>
      </c>
      <c r="E185" s="87" t="s">
        <v>397</v>
      </c>
      <c r="F185" s="88">
        <f>35000*3.5%+35000</f>
        <v>36225</v>
      </c>
      <c r="G185" s="59">
        <f t="shared" si="3"/>
        <v>181125</v>
      </c>
      <c r="H185" s="56" t="s">
        <v>416</v>
      </c>
      <c r="I185" s="28" t="s">
        <v>417</v>
      </c>
      <c r="J185" s="28" t="s">
        <v>40</v>
      </c>
      <c r="K185" s="28" t="s">
        <v>418</v>
      </c>
    </row>
    <row r="186" spans="1:11" ht="24" x14ac:dyDescent="0.25">
      <c r="A186" s="179">
        <v>183</v>
      </c>
      <c r="B186" s="183" t="s">
        <v>341</v>
      </c>
      <c r="C186" s="181" t="s">
        <v>396</v>
      </c>
      <c r="D186" s="75">
        <v>20</v>
      </c>
      <c r="E186" s="87" t="s">
        <v>397</v>
      </c>
      <c r="F186" s="88">
        <f>65000*3.5%+65000</f>
        <v>67275</v>
      </c>
      <c r="G186" s="59">
        <f t="shared" si="3"/>
        <v>1345500</v>
      </c>
      <c r="H186" s="56" t="s">
        <v>416</v>
      </c>
      <c r="I186" s="28" t="s">
        <v>417</v>
      </c>
      <c r="J186" s="28" t="s">
        <v>40</v>
      </c>
      <c r="K186" s="28" t="s">
        <v>418</v>
      </c>
    </row>
    <row r="187" spans="1:11" ht="24" x14ac:dyDescent="0.25">
      <c r="A187" s="179">
        <v>184</v>
      </c>
      <c r="B187" s="183" t="s">
        <v>342</v>
      </c>
      <c r="C187" s="181" t="s">
        <v>396</v>
      </c>
      <c r="D187" s="75">
        <v>5</v>
      </c>
      <c r="E187" s="87" t="s">
        <v>397</v>
      </c>
      <c r="F187" s="88">
        <f>170000*3.5%+170000</f>
        <v>175950</v>
      </c>
      <c r="G187" s="59">
        <f t="shared" si="3"/>
        <v>879750</v>
      </c>
      <c r="H187" s="56" t="s">
        <v>416</v>
      </c>
      <c r="I187" s="28" t="s">
        <v>417</v>
      </c>
      <c r="J187" s="28" t="s">
        <v>40</v>
      </c>
      <c r="K187" s="28" t="s">
        <v>418</v>
      </c>
    </row>
    <row r="188" spans="1:11" ht="24" x14ac:dyDescent="0.25">
      <c r="A188" s="179">
        <v>185</v>
      </c>
      <c r="B188" s="183" t="s">
        <v>343</v>
      </c>
      <c r="C188" s="181" t="s">
        <v>396</v>
      </c>
      <c r="D188" s="75">
        <v>5</v>
      </c>
      <c r="E188" s="87" t="s">
        <v>397</v>
      </c>
      <c r="F188" s="77">
        <f>250000*3.5%+250000</f>
        <v>258750</v>
      </c>
      <c r="G188" s="59">
        <f t="shared" si="3"/>
        <v>1293750</v>
      </c>
      <c r="H188" s="56" t="s">
        <v>416</v>
      </c>
      <c r="I188" s="28" t="s">
        <v>417</v>
      </c>
      <c r="J188" s="28" t="s">
        <v>40</v>
      </c>
      <c r="K188" s="28" t="s">
        <v>418</v>
      </c>
    </row>
    <row r="189" spans="1:11" ht="24" x14ac:dyDescent="0.25">
      <c r="A189" s="179">
        <v>186</v>
      </c>
      <c r="B189" s="183" t="s">
        <v>344</v>
      </c>
      <c r="C189" s="181" t="s">
        <v>396</v>
      </c>
      <c r="D189" s="75">
        <v>3</v>
      </c>
      <c r="E189" s="87" t="s">
        <v>397</v>
      </c>
      <c r="F189" s="88">
        <f>25000*3.5%+25000</f>
        <v>25875</v>
      </c>
      <c r="G189" s="59">
        <f t="shared" si="3"/>
        <v>77625</v>
      </c>
      <c r="H189" s="56" t="s">
        <v>416</v>
      </c>
      <c r="I189" s="28" t="s">
        <v>417</v>
      </c>
      <c r="J189" s="28" t="s">
        <v>40</v>
      </c>
      <c r="K189" s="28" t="s">
        <v>418</v>
      </c>
    </row>
    <row r="190" spans="1:11" ht="24" x14ac:dyDescent="0.25">
      <c r="A190" s="179">
        <v>187</v>
      </c>
      <c r="B190" s="183" t="s">
        <v>345</v>
      </c>
      <c r="C190" s="181" t="s">
        <v>396</v>
      </c>
      <c r="D190" s="75">
        <v>3</v>
      </c>
      <c r="E190" s="87" t="s">
        <v>402</v>
      </c>
      <c r="F190" s="88">
        <f>14000*3.5%+14000</f>
        <v>14490</v>
      </c>
      <c r="G190" s="59">
        <f t="shared" si="3"/>
        <v>43470</v>
      </c>
      <c r="H190" s="56" t="s">
        <v>416</v>
      </c>
      <c r="I190" s="28" t="s">
        <v>417</v>
      </c>
      <c r="J190" s="28" t="s">
        <v>40</v>
      </c>
      <c r="K190" s="28" t="s">
        <v>418</v>
      </c>
    </row>
    <row r="191" spans="1:11" ht="24" x14ac:dyDescent="0.25">
      <c r="A191" s="179">
        <v>188</v>
      </c>
      <c r="B191" s="183" t="s">
        <v>346</v>
      </c>
      <c r="C191" s="181" t="s">
        <v>396</v>
      </c>
      <c r="D191" s="75">
        <v>10</v>
      </c>
      <c r="E191" s="87" t="s">
        <v>15</v>
      </c>
      <c r="F191" s="88">
        <f>38000*3.5%+38000</f>
        <v>39330</v>
      </c>
      <c r="G191" s="59">
        <f t="shared" si="3"/>
        <v>393300</v>
      </c>
      <c r="H191" s="56" t="s">
        <v>416</v>
      </c>
      <c r="I191" s="28" t="s">
        <v>417</v>
      </c>
      <c r="J191" s="28" t="s">
        <v>40</v>
      </c>
      <c r="K191" s="28" t="s">
        <v>418</v>
      </c>
    </row>
    <row r="192" spans="1:11" ht="24" x14ac:dyDescent="0.25">
      <c r="A192" s="179">
        <v>189</v>
      </c>
      <c r="B192" s="183" t="s">
        <v>347</v>
      </c>
      <c r="C192" s="181" t="s">
        <v>396</v>
      </c>
      <c r="D192" s="75">
        <v>15</v>
      </c>
      <c r="E192" s="87" t="s">
        <v>413</v>
      </c>
      <c r="F192" s="88">
        <f>6000*3.5%+6000</f>
        <v>6210</v>
      </c>
      <c r="G192" s="59">
        <f t="shared" si="3"/>
        <v>93150</v>
      </c>
      <c r="H192" s="56" t="s">
        <v>416</v>
      </c>
      <c r="I192" s="28" t="s">
        <v>417</v>
      </c>
      <c r="J192" s="28" t="s">
        <v>40</v>
      </c>
      <c r="K192" s="28" t="s">
        <v>418</v>
      </c>
    </row>
    <row r="193" spans="1:11" ht="24" x14ac:dyDescent="0.25">
      <c r="A193" s="179">
        <v>190</v>
      </c>
      <c r="B193" s="183" t="s">
        <v>348</v>
      </c>
      <c r="C193" s="181" t="s">
        <v>396</v>
      </c>
      <c r="D193" s="75">
        <v>5</v>
      </c>
      <c r="E193" s="87" t="s">
        <v>397</v>
      </c>
      <c r="F193" s="88">
        <f>3000*3.5%+3000</f>
        <v>3105</v>
      </c>
      <c r="G193" s="59">
        <f t="shared" si="3"/>
        <v>15525</v>
      </c>
      <c r="H193" s="56" t="s">
        <v>416</v>
      </c>
      <c r="I193" s="28" t="s">
        <v>417</v>
      </c>
      <c r="J193" s="28" t="s">
        <v>40</v>
      </c>
      <c r="K193" s="28" t="s">
        <v>418</v>
      </c>
    </row>
    <row r="194" spans="1:11" ht="24" x14ac:dyDescent="0.25">
      <c r="A194" s="179">
        <v>191</v>
      </c>
      <c r="B194" s="183" t="s">
        <v>349</v>
      </c>
      <c r="C194" s="181" t="s">
        <v>396</v>
      </c>
      <c r="D194" s="75">
        <v>5</v>
      </c>
      <c r="E194" s="87" t="s">
        <v>397</v>
      </c>
      <c r="F194" s="88">
        <f>5000*3.5%+5000</f>
        <v>5175</v>
      </c>
      <c r="G194" s="59">
        <f t="shared" si="3"/>
        <v>25875</v>
      </c>
      <c r="H194" s="56" t="s">
        <v>416</v>
      </c>
      <c r="I194" s="28" t="s">
        <v>417</v>
      </c>
      <c r="J194" s="28" t="s">
        <v>40</v>
      </c>
      <c r="K194" s="28" t="s">
        <v>418</v>
      </c>
    </row>
    <row r="195" spans="1:11" ht="24" x14ac:dyDescent="0.25">
      <c r="A195" s="179">
        <v>192</v>
      </c>
      <c r="B195" s="183" t="s">
        <v>350</v>
      </c>
      <c r="C195" s="181" t="s">
        <v>396</v>
      </c>
      <c r="D195" s="75">
        <v>1</v>
      </c>
      <c r="E195" s="87" t="s">
        <v>397</v>
      </c>
      <c r="F195" s="88">
        <v>1500000</v>
      </c>
      <c r="G195" s="59">
        <f t="shared" si="3"/>
        <v>1500000</v>
      </c>
      <c r="H195" s="56" t="s">
        <v>416</v>
      </c>
      <c r="I195" s="28" t="s">
        <v>417</v>
      </c>
      <c r="J195" s="28" t="s">
        <v>40</v>
      </c>
      <c r="K195" s="28" t="s">
        <v>418</v>
      </c>
    </row>
    <row r="196" spans="1:11" ht="24" x14ac:dyDescent="0.25">
      <c r="A196" s="179">
        <v>193</v>
      </c>
      <c r="B196" s="183" t="s">
        <v>351</v>
      </c>
      <c r="C196" s="181" t="s">
        <v>396</v>
      </c>
      <c r="D196" s="75">
        <v>3</v>
      </c>
      <c r="E196" s="87" t="s">
        <v>413</v>
      </c>
      <c r="F196" s="88">
        <f>3000*3.5%+3000</f>
        <v>3105</v>
      </c>
      <c r="G196" s="59">
        <f t="shared" si="3"/>
        <v>9315</v>
      </c>
      <c r="H196" s="56" t="s">
        <v>416</v>
      </c>
      <c r="I196" s="28" t="s">
        <v>417</v>
      </c>
      <c r="J196" s="28" t="s">
        <v>40</v>
      </c>
      <c r="K196" s="28" t="s">
        <v>418</v>
      </c>
    </row>
    <row r="197" spans="1:11" ht="24" x14ac:dyDescent="0.25">
      <c r="A197" s="179">
        <v>194</v>
      </c>
      <c r="B197" s="183" t="s">
        <v>352</v>
      </c>
      <c r="C197" s="181" t="s">
        <v>396</v>
      </c>
      <c r="D197" s="75">
        <v>3</v>
      </c>
      <c r="E197" s="87" t="s">
        <v>407</v>
      </c>
      <c r="F197" s="88">
        <f>35000*3.5%+35000</f>
        <v>36225</v>
      </c>
      <c r="G197" s="59">
        <f t="shared" ref="G197:G244" si="6">D197*F197</f>
        <v>108675</v>
      </c>
      <c r="H197" s="56" t="s">
        <v>416</v>
      </c>
      <c r="I197" s="28" t="s">
        <v>417</v>
      </c>
      <c r="J197" s="28" t="s">
        <v>40</v>
      </c>
      <c r="K197" s="28" t="s">
        <v>418</v>
      </c>
    </row>
    <row r="198" spans="1:11" ht="24" x14ac:dyDescent="0.25">
      <c r="A198" s="179">
        <v>195</v>
      </c>
      <c r="B198" s="183" t="s">
        <v>353</v>
      </c>
      <c r="C198" s="181" t="s">
        <v>396</v>
      </c>
      <c r="D198" s="75">
        <v>1</v>
      </c>
      <c r="E198" s="87" t="s">
        <v>397</v>
      </c>
      <c r="F198" s="88">
        <f>17000*3.5%+17000</f>
        <v>17595</v>
      </c>
      <c r="G198" s="59">
        <f t="shared" si="6"/>
        <v>17595</v>
      </c>
      <c r="H198" s="56" t="s">
        <v>416</v>
      </c>
      <c r="I198" s="28" t="s">
        <v>417</v>
      </c>
      <c r="J198" s="28" t="s">
        <v>40</v>
      </c>
      <c r="K198" s="28" t="s">
        <v>418</v>
      </c>
    </row>
    <row r="199" spans="1:11" ht="24" x14ac:dyDescent="0.25">
      <c r="A199" s="179">
        <v>196</v>
      </c>
      <c r="B199" s="183" t="s">
        <v>354</v>
      </c>
      <c r="C199" s="181" t="s">
        <v>396</v>
      </c>
      <c r="D199" s="75">
        <v>1</v>
      </c>
      <c r="E199" s="87" t="s">
        <v>397</v>
      </c>
      <c r="F199" s="88">
        <f>350000*3.5%+350000</f>
        <v>362250</v>
      </c>
      <c r="G199" s="59">
        <f t="shared" si="6"/>
        <v>362250</v>
      </c>
      <c r="H199" s="56" t="s">
        <v>416</v>
      </c>
      <c r="I199" s="28" t="s">
        <v>417</v>
      </c>
      <c r="J199" s="28" t="s">
        <v>40</v>
      </c>
      <c r="K199" s="28" t="s">
        <v>418</v>
      </c>
    </row>
    <row r="200" spans="1:11" ht="24" x14ac:dyDescent="0.25">
      <c r="A200" s="179">
        <v>197</v>
      </c>
      <c r="B200" s="183" t="s">
        <v>355</v>
      </c>
      <c r="C200" s="181" t="s">
        <v>396</v>
      </c>
      <c r="D200" s="75">
        <v>1</v>
      </c>
      <c r="E200" s="87" t="s">
        <v>397</v>
      </c>
      <c r="F200" s="88">
        <f>420000*3.5%+420000</f>
        <v>434700</v>
      </c>
      <c r="G200" s="59">
        <f t="shared" si="6"/>
        <v>434700</v>
      </c>
      <c r="H200" s="56" t="s">
        <v>416</v>
      </c>
      <c r="I200" s="28" t="s">
        <v>417</v>
      </c>
      <c r="J200" s="28" t="s">
        <v>40</v>
      </c>
      <c r="K200" s="28" t="s">
        <v>418</v>
      </c>
    </row>
    <row r="201" spans="1:11" ht="24" x14ac:dyDescent="0.25">
      <c r="A201" s="179">
        <v>198</v>
      </c>
      <c r="B201" s="183" t="s">
        <v>356</v>
      </c>
      <c r="C201" s="181" t="s">
        <v>396</v>
      </c>
      <c r="D201" s="75">
        <v>1</v>
      </c>
      <c r="E201" s="87" t="s">
        <v>397</v>
      </c>
      <c r="F201" s="88">
        <f>395000*3.5%+395000</f>
        <v>408825</v>
      </c>
      <c r="G201" s="59">
        <f t="shared" si="6"/>
        <v>408825</v>
      </c>
      <c r="H201" s="56" t="s">
        <v>416</v>
      </c>
      <c r="I201" s="28" t="s">
        <v>417</v>
      </c>
      <c r="J201" s="28" t="s">
        <v>40</v>
      </c>
      <c r="K201" s="28" t="s">
        <v>418</v>
      </c>
    </row>
    <row r="202" spans="1:11" ht="24" x14ac:dyDescent="0.25">
      <c r="A202" s="179">
        <v>199</v>
      </c>
      <c r="B202" s="183" t="s">
        <v>357</v>
      </c>
      <c r="C202" s="181" t="s">
        <v>396</v>
      </c>
      <c r="D202" s="75">
        <v>3</v>
      </c>
      <c r="E202" s="87" t="s">
        <v>408</v>
      </c>
      <c r="F202" s="88">
        <f>12000*3.5%+12000</f>
        <v>12420</v>
      </c>
      <c r="G202" s="59">
        <f t="shared" si="6"/>
        <v>37260</v>
      </c>
      <c r="H202" s="56" t="s">
        <v>416</v>
      </c>
      <c r="I202" s="28" t="s">
        <v>417</v>
      </c>
      <c r="J202" s="28" t="s">
        <v>40</v>
      </c>
      <c r="K202" s="28" t="s">
        <v>418</v>
      </c>
    </row>
    <row r="203" spans="1:11" ht="24" x14ac:dyDescent="0.25">
      <c r="A203" s="179">
        <v>200</v>
      </c>
      <c r="B203" s="183" t="s">
        <v>358</v>
      </c>
      <c r="C203" s="181" t="s">
        <v>396</v>
      </c>
      <c r="D203" s="75">
        <v>3</v>
      </c>
      <c r="E203" s="87" t="s">
        <v>397</v>
      </c>
      <c r="F203" s="88">
        <f>9000*3.5%+9000</f>
        <v>9315</v>
      </c>
      <c r="G203" s="59">
        <f t="shared" si="6"/>
        <v>27945</v>
      </c>
      <c r="H203" s="56" t="s">
        <v>416</v>
      </c>
      <c r="I203" s="28" t="s">
        <v>417</v>
      </c>
      <c r="J203" s="28" t="s">
        <v>40</v>
      </c>
      <c r="K203" s="28" t="s">
        <v>418</v>
      </c>
    </row>
    <row r="204" spans="1:11" ht="24" x14ac:dyDescent="0.25">
      <c r="A204" s="179">
        <v>201</v>
      </c>
      <c r="B204" s="183" t="s">
        <v>359</v>
      </c>
      <c r="C204" s="181" t="s">
        <v>396</v>
      </c>
      <c r="D204" s="75">
        <v>1</v>
      </c>
      <c r="E204" s="87" t="s">
        <v>397</v>
      </c>
      <c r="F204" s="88">
        <f>390000*3.5%+390000</f>
        <v>403650</v>
      </c>
      <c r="G204" s="59">
        <f t="shared" si="6"/>
        <v>403650</v>
      </c>
      <c r="H204" s="56" t="s">
        <v>416</v>
      </c>
      <c r="I204" s="28" t="s">
        <v>417</v>
      </c>
      <c r="J204" s="28" t="s">
        <v>40</v>
      </c>
      <c r="K204" s="28" t="s">
        <v>418</v>
      </c>
    </row>
    <row r="205" spans="1:11" ht="24" x14ac:dyDescent="0.25">
      <c r="A205" s="179">
        <v>202</v>
      </c>
      <c r="B205" s="183" t="s">
        <v>360</v>
      </c>
      <c r="C205" s="181" t="s">
        <v>396</v>
      </c>
      <c r="D205" s="75">
        <v>1</v>
      </c>
      <c r="E205" s="87" t="s">
        <v>397</v>
      </c>
      <c r="F205" s="88">
        <f>420000*3.5%+420000</f>
        <v>434700</v>
      </c>
      <c r="G205" s="59">
        <f t="shared" si="6"/>
        <v>434700</v>
      </c>
      <c r="H205" s="56" t="s">
        <v>416</v>
      </c>
      <c r="I205" s="28" t="s">
        <v>417</v>
      </c>
      <c r="J205" s="28" t="s">
        <v>40</v>
      </c>
      <c r="K205" s="28" t="s">
        <v>418</v>
      </c>
    </row>
    <row r="206" spans="1:11" ht="24" x14ac:dyDescent="0.25">
      <c r="A206" s="179">
        <v>203</v>
      </c>
      <c r="B206" s="183" t="s">
        <v>1132</v>
      </c>
      <c r="C206" s="181" t="s">
        <v>396</v>
      </c>
      <c r="D206" s="75">
        <v>1</v>
      </c>
      <c r="E206" s="87" t="s">
        <v>397</v>
      </c>
      <c r="F206" s="88">
        <f>620000*3.5%+620000</f>
        <v>641700</v>
      </c>
      <c r="G206" s="59">
        <f t="shared" si="6"/>
        <v>641700</v>
      </c>
      <c r="H206" s="56" t="s">
        <v>416</v>
      </c>
      <c r="I206" s="28" t="s">
        <v>417</v>
      </c>
      <c r="J206" s="28" t="s">
        <v>40</v>
      </c>
      <c r="K206" s="28" t="s">
        <v>418</v>
      </c>
    </row>
    <row r="207" spans="1:11" ht="24" x14ac:dyDescent="0.25">
      <c r="A207" s="179">
        <v>204</v>
      </c>
      <c r="B207" s="183" t="s">
        <v>361</v>
      </c>
      <c r="C207" s="181" t="s">
        <v>396</v>
      </c>
      <c r="D207" s="75">
        <v>1</v>
      </c>
      <c r="E207" s="87" t="s">
        <v>397</v>
      </c>
      <c r="F207" s="88">
        <f>740000*3.5%+740000</f>
        <v>765900</v>
      </c>
      <c r="G207" s="59">
        <f t="shared" si="6"/>
        <v>765900</v>
      </c>
      <c r="H207" s="56" t="s">
        <v>416</v>
      </c>
      <c r="I207" s="28" t="s">
        <v>417</v>
      </c>
      <c r="J207" s="28" t="s">
        <v>40</v>
      </c>
      <c r="K207" s="28" t="s">
        <v>418</v>
      </c>
    </row>
    <row r="208" spans="1:11" ht="24" x14ac:dyDescent="0.25">
      <c r="A208" s="179">
        <v>205</v>
      </c>
      <c r="B208" s="183" t="s">
        <v>362</v>
      </c>
      <c r="C208" s="181" t="s">
        <v>396</v>
      </c>
      <c r="D208" s="75">
        <v>1</v>
      </c>
      <c r="E208" s="87" t="s">
        <v>397</v>
      </c>
      <c r="F208" s="88">
        <f>740000*3.5%+740000</f>
        <v>765900</v>
      </c>
      <c r="G208" s="59">
        <f t="shared" si="6"/>
        <v>765900</v>
      </c>
      <c r="H208" s="56" t="s">
        <v>416</v>
      </c>
      <c r="I208" s="28" t="s">
        <v>417</v>
      </c>
      <c r="J208" s="28" t="s">
        <v>40</v>
      </c>
      <c r="K208" s="28" t="s">
        <v>418</v>
      </c>
    </row>
    <row r="209" spans="1:11" ht="24" x14ac:dyDescent="0.25">
      <c r="A209" s="179">
        <v>206</v>
      </c>
      <c r="B209" s="183" t="s">
        <v>363</v>
      </c>
      <c r="C209" s="181" t="s">
        <v>396</v>
      </c>
      <c r="D209" s="75">
        <v>1</v>
      </c>
      <c r="E209" s="87" t="s">
        <v>397</v>
      </c>
      <c r="F209" s="88">
        <f>420000*3.5%+420000</f>
        <v>434700</v>
      </c>
      <c r="G209" s="59">
        <f t="shared" si="6"/>
        <v>434700</v>
      </c>
      <c r="H209" s="56" t="s">
        <v>416</v>
      </c>
      <c r="I209" s="28" t="s">
        <v>417</v>
      </c>
      <c r="J209" s="28" t="s">
        <v>40</v>
      </c>
      <c r="K209" s="28" t="s">
        <v>418</v>
      </c>
    </row>
    <row r="210" spans="1:11" ht="24" x14ac:dyDescent="0.25">
      <c r="A210" s="179">
        <v>207</v>
      </c>
      <c r="B210" s="183" t="s">
        <v>364</v>
      </c>
      <c r="C210" s="181" t="s">
        <v>396</v>
      </c>
      <c r="D210" s="75">
        <v>1</v>
      </c>
      <c r="E210" s="87" t="s">
        <v>397</v>
      </c>
      <c r="F210" s="88">
        <f>300000*3.5%+300000</f>
        <v>310500</v>
      </c>
      <c r="G210" s="59">
        <f t="shared" si="6"/>
        <v>310500</v>
      </c>
      <c r="H210" s="56" t="s">
        <v>416</v>
      </c>
      <c r="I210" s="28" t="s">
        <v>417</v>
      </c>
      <c r="J210" s="28" t="s">
        <v>40</v>
      </c>
      <c r="K210" s="28" t="s">
        <v>418</v>
      </c>
    </row>
    <row r="211" spans="1:11" ht="24" x14ac:dyDescent="0.25">
      <c r="A211" s="179">
        <v>208</v>
      </c>
      <c r="B211" s="183" t="s">
        <v>365</v>
      </c>
      <c r="C211" s="181" t="s">
        <v>396</v>
      </c>
      <c r="D211" s="75">
        <v>1</v>
      </c>
      <c r="E211" s="87" t="s">
        <v>397</v>
      </c>
      <c r="F211" s="88">
        <f>300000*3.5%+300000</f>
        <v>310500</v>
      </c>
      <c r="G211" s="59">
        <f t="shared" si="6"/>
        <v>310500</v>
      </c>
      <c r="H211" s="56" t="s">
        <v>416</v>
      </c>
      <c r="I211" s="28" t="s">
        <v>417</v>
      </c>
      <c r="J211" s="28" t="s">
        <v>40</v>
      </c>
      <c r="K211" s="28" t="s">
        <v>418</v>
      </c>
    </row>
    <row r="212" spans="1:11" ht="24" x14ac:dyDescent="0.25">
      <c r="A212" s="179">
        <v>209</v>
      </c>
      <c r="B212" s="183" t="s">
        <v>366</v>
      </c>
      <c r="C212" s="181" t="s">
        <v>396</v>
      </c>
      <c r="D212" s="75">
        <v>10</v>
      </c>
      <c r="E212" s="87" t="s">
        <v>397</v>
      </c>
      <c r="F212" s="88">
        <f>24000*3.5%+24000</f>
        <v>24840</v>
      </c>
      <c r="G212" s="59">
        <f t="shared" si="6"/>
        <v>248400</v>
      </c>
      <c r="H212" s="56" t="s">
        <v>416</v>
      </c>
      <c r="I212" s="28" t="s">
        <v>417</v>
      </c>
      <c r="J212" s="28" t="s">
        <v>40</v>
      </c>
      <c r="K212" s="28" t="s">
        <v>418</v>
      </c>
    </row>
    <row r="213" spans="1:11" ht="24" x14ac:dyDescent="0.25">
      <c r="A213" s="179">
        <v>210</v>
      </c>
      <c r="B213" s="183" t="s">
        <v>367</v>
      </c>
      <c r="C213" s="181" t="s">
        <v>396</v>
      </c>
      <c r="D213" s="75">
        <v>10</v>
      </c>
      <c r="E213" s="87" t="s">
        <v>397</v>
      </c>
      <c r="F213" s="88">
        <f>49000*3.5%+49000</f>
        <v>50715</v>
      </c>
      <c r="G213" s="59">
        <f t="shared" si="6"/>
        <v>507150</v>
      </c>
      <c r="H213" s="56" t="s">
        <v>416</v>
      </c>
      <c r="I213" s="28" t="s">
        <v>417</v>
      </c>
      <c r="J213" s="28" t="s">
        <v>40</v>
      </c>
      <c r="K213" s="28" t="s">
        <v>418</v>
      </c>
    </row>
    <row r="214" spans="1:11" ht="24" x14ac:dyDescent="0.25">
      <c r="A214" s="179">
        <v>211</v>
      </c>
      <c r="B214" s="183" t="s">
        <v>368</v>
      </c>
      <c r="C214" s="181" t="s">
        <v>396</v>
      </c>
      <c r="D214" s="75">
        <v>5</v>
      </c>
      <c r="E214" s="87" t="s">
        <v>407</v>
      </c>
      <c r="F214" s="77">
        <f>15000*3.5%+15000</f>
        <v>15525</v>
      </c>
      <c r="G214" s="59">
        <f t="shared" si="6"/>
        <v>77625</v>
      </c>
      <c r="H214" s="56" t="s">
        <v>416</v>
      </c>
      <c r="I214" s="28" t="s">
        <v>417</v>
      </c>
      <c r="J214" s="28" t="s">
        <v>40</v>
      </c>
      <c r="K214" s="28" t="s">
        <v>418</v>
      </c>
    </row>
    <row r="215" spans="1:11" ht="24" x14ac:dyDescent="0.25">
      <c r="A215" s="179">
        <v>212</v>
      </c>
      <c r="B215" s="183" t="s">
        <v>369</v>
      </c>
      <c r="C215" s="181" t="s">
        <v>396</v>
      </c>
      <c r="D215" s="75">
        <v>1</v>
      </c>
      <c r="E215" s="87" t="s">
        <v>397</v>
      </c>
      <c r="F215" s="88">
        <f>9000*3.5%+9000</f>
        <v>9315</v>
      </c>
      <c r="G215" s="59">
        <f t="shared" si="6"/>
        <v>9315</v>
      </c>
      <c r="H215" s="56" t="s">
        <v>416</v>
      </c>
      <c r="I215" s="28" t="s">
        <v>417</v>
      </c>
      <c r="J215" s="28" t="s">
        <v>40</v>
      </c>
      <c r="K215" s="28" t="s">
        <v>418</v>
      </c>
    </row>
    <row r="216" spans="1:11" ht="24" x14ac:dyDescent="0.25">
      <c r="A216" s="179">
        <v>213</v>
      </c>
      <c r="B216" s="183" t="s">
        <v>370</v>
      </c>
      <c r="C216" s="181" t="s">
        <v>396</v>
      </c>
      <c r="D216" s="75">
        <v>1</v>
      </c>
      <c r="E216" s="87" t="s">
        <v>397</v>
      </c>
      <c r="F216" s="88">
        <f>85000*3.5%+85000</f>
        <v>87975</v>
      </c>
      <c r="G216" s="59">
        <f t="shared" si="6"/>
        <v>87975</v>
      </c>
      <c r="H216" s="56" t="s">
        <v>416</v>
      </c>
      <c r="I216" s="28" t="s">
        <v>417</v>
      </c>
      <c r="J216" s="28" t="s">
        <v>40</v>
      </c>
      <c r="K216" s="28" t="s">
        <v>418</v>
      </c>
    </row>
    <row r="217" spans="1:11" ht="36" x14ac:dyDescent="0.25">
      <c r="A217" s="179">
        <v>214</v>
      </c>
      <c r="B217" s="183" t="s">
        <v>371</v>
      </c>
      <c r="C217" s="181" t="s">
        <v>396</v>
      </c>
      <c r="D217" s="75">
        <v>15</v>
      </c>
      <c r="E217" s="87" t="s">
        <v>414</v>
      </c>
      <c r="F217" s="88">
        <f>5000*3.5%+5000</f>
        <v>5175</v>
      </c>
      <c r="G217" s="59">
        <f t="shared" si="6"/>
        <v>77625</v>
      </c>
      <c r="H217" s="56" t="s">
        <v>416</v>
      </c>
      <c r="I217" s="28" t="s">
        <v>417</v>
      </c>
      <c r="J217" s="28" t="s">
        <v>40</v>
      </c>
      <c r="K217" s="28" t="s">
        <v>418</v>
      </c>
    </row>
    <row r="218" spans="1:11" ht="36" x14ac:dyDescent="0.25">
      <c r="A218" s="179">
        <v>215</v>
      </c>
      <c r="B218" s="183" t="s">
        <v>372</v>
      </c>
      <c r="C218" s="181" t="s">
        <v>396</v>
      </c>
      <c r="D218" s="75">
        <v>15</v>
      </c>
      <c r="E218" s="87" t="s">
        <v>414</v>
      </c>
      <c r="F218" s="88">
        <f>5000*3.5%+5000</f>
        <v>5175</v>
      </c>
      <c r="G218" s="59">
        <f t="shared" si="6"/>
        <v>77625</v>
      </c>
      <c r="H218" s="56" t="s">
        <v>416</v>
      </c>
      <c r="I218" s="28" t="s">
        <v>417</v>
      </c>
      <c r="J218" s="28" t="s">
        <v>40</v>
      </c>
      <c r="K218" s="28" t="s">
        <v>418</v>
      </c>
    </row>
    <row r="219" spans="1:11" ht="24" x14ac:dyDescent="0.25">
      <c r="A219" s="179">
        <v>216</v>
      </c>
      <c r="B219" s="183" t="s">
        <v>373</v>
      </c>
      <c r="C219" s="181" t="s">
        <v>396</v>
      </c>
      <c r="D219" s="75">
        <v>5</v>
      </c>
      <c r="E219" s="87" t="s">
        <v>397</v>
      </c>
      <c r="F219" s="91">
        <f>800*3.5%+800</f>
        <v>828</v>
      </c>
      <c r="G219" s="59">
        <f t="shared" si="6"/>
        <v>4140</v>
      </c>
      <c r="H219" s="56" t="s">
        <v>416</v>
      </c>
      <c r="I219" s="28" t="s">
        <v>417</v>
      </c>
      <c r="J219" s="28" t="s">
        <v>40</v>
      </c>
      <c r="K219" s="28" t="s">
        <v>418</v>
      </c>
    </row>
    <row r="220" spans="1:11" ht="24" x14ac:dyDescent="0.25">
      <c r="A220" s="179">
        <v>217</v>
      </c>
      <c r="B220" s="183" t="s">
        <v>374</v>
      </c>
      <c r="C220" s="181" t="s">
        <v>396</v>
      </c>
      <c r="D220" s="75">
        <v>5</v>
      </c>
      <c r="E220" s="87" t="s">
        <v>15</v>
      </c>
      <c r="F220" s="88">
        <f>9000*3.5%+9000</f>
        <v>9315</v>
      </c>
      <c r="G220" s="59">
        <f t="shared" si="6"/>
        <v>46575</v>
      </c>
      <c r="H220" s="56" t="s">
        <v>416</v>
      </c>
      <c r="I220" s="28" t="s">
        <v>417</v>
      </c>
      <c r="J220" s="28" t="s">
        <v>40</v>
      </c>
      <c r="K220" s="28" t="s">
        <v>418</v>
      </c>
    </row>
    <row r="221" spans="1:11" ht="24" x14ac:dyDescent="0.25">
      <c r="A221" s="179">
        <v>218</v>
      </c>
      <c r="B221" s="183" t="s">
        <v>375</v>
      </c>
      <c r="C221" s="181" t="s">
        <v>396</v>
      </c>
      <c r="D221" s="75">
        <v>2</v>
      </c>
      <c r="E221" s="87" t="s">
        <v>397</v>
      </c>
      <c r="F221" s="88">
        <f>28000*3.5%+28000</f>
        <v>28980</v>
      </c>
      <c r="G221" s="59">
        <f t="shared" si="6"/>
        <v>57960</v>
      </c>
      <c r="H221" s="56" t="s">
        <v>416</v>
      </c>
      <c r="I221" s="28" t="s">
        <v>417</v>
      </c>
      <c r="J221" s="28" t="s">
        <v>40</v>
      </c>
      <c r="K221" s="28" t="s">
        <v>418</v>
      </c>
    </row>
    <row r="222" spans="1:11" ht="24" x14ac:dyDescent="0.25">
      <c r="A222" s="179">
        <v>219</v>
      </c>
      <c r="B222" s="183" t="s">
        <v>376</v>
      </c>
      <c r="C222" s="181" t="s">
        <v>396</v>
      </c>
      <c r="D222" s="75">
        <v>2</v>
      </c>
      <c r="E222" s="87" t="s">
        <v>397</v>
      </c>
      <c r="F222" s="88">
        <f>22000*3.5%+22000</f>
        <v>22770</v>
      </c>
      <c r="G222" s="59">
        <f t="shared" si="6"/>
        <v>45540</v>
      </c>
      <c r="H222" s="56" t="s">
        <v>416</v>
      </c>
      <c r="I222" s="28" t="s">
        <v>417</v>
      </c>
      <c r="J222" s="28" t="s">
        <v>40</v>
      </c>
      <c r="K222" s="28" t="s">
        <v>418</v>
      </c>
    </row>
    <row r="223" spans="1:11" ht="24" x14ac:dyDescent="0.25">
      <c r="A223" s="179">
        <v>220</v>
      </c>
      <c r="B223" s="183" t="s">
        <v>377</v>
      </c>
      <c r="C223" s="181" t="s">
        <v>396</v>
      </c>
      <c r="D223" s="75">
        <v>2</v>
      </c>
      <c r="E223" s="87" t="s">
        <v>415</v>
      </c>
      <c r="F223" s="88">
        <f>60000*3.5%+60000</f>
        <v>62100</v>
      </c>
      <c r="G223" s="59">
        <f t="shared" si="6"/>
        <v>124200</v>
      </c>
      <c r="H223" s="56" t="s">
        <v>416</v>
      </c>
      <c r="I223" s="28" t="s">
        <v>417</v>
      </c>
      <c r="J223" s="28" t="s">
        <v>40</v>
      </c>
      <c r="K223" s="28" t="s">
        <v>418</v>
      </c>
    </row>
    <row r="224" spans="1:11" ht="24" x14ac:dyDescent="0.25">
      <c r="A224" s="179">
        <v>221</v>
      </c>
      <c r="B224" s="183" t="s">
        <v>378</v>
      </c>
      <c r="C224" s="181" t="s">
        <v>396</v>
      </c>
      <c r="D224" s="75">
        <v>2</v>
      </c>
      <c r="E224" s="87" t="s">
        <v>397</v>
      </c>
      <c r="F224" s="88">
        <f>60000*3.5%+60000</f>
        <v>62100</v>
      </c>
      <c r="G224" s="59">
        <f t="shared" si="6"/>
        <v>124200</v>
      </c>
      <c r="H224" s="56" t="s">
        <v>416</v>
      </c>
      <c r="I224" s="28" t="s">
        <v>417</v>
      </c>
      <c r="J224" s="28" t="s">
        <v>40</v>
      </c>
      <c r="K224" s="28" t="s">
        <v>418</v>
      </c>
    </row>
    <row r="225" spans="1:11" ht="24" x14ac:dyDescent="0.25">
      <c r="A225" s="179">
        <v>222</v>
      </c>
      <c r="B225" s="183" t="s">
        <v>379</v>
      </c>
      <c r="C225" s="181" t="s">
        <v>396</v>
      </c>
      <c r="D225" s="75">
        <v>2</v>
      </c>
      <c r="E225" s="87" t="s">
        <v>397</v>
      </c>
      <c r="F225" s="88">
        <f>35000*3.5%+35000</f>
        <v>36225</v>
      </c>
      <c r="G225" s="59">
        <f t="shared" si="6"/>
        <v>72450</v>
      </c>
      <c r="H225" s="56" t="s">
        <v>416</v>
      </c>
      <c r="I225" s="28" t="s">
        <v>417</v>
      </c>
      <c r="J225" s="28" t="s">
        <v>40</v>
      </c>
      <c r="K225" s="28" t="s">
        <v>418</v>
      </c>
    </row>
    <row r="226" spans="1:11" ht="24" x14ac:dyDescent="0.25">
      <c r="A226" s="179">
        <v>223</v>
      </c>
      <c r="B226" s="183" t="s">
        <v>380</v>
      </c>
      <c r="C226" s="181" t="s">
        <v>396</v>
      </c>
      <c r="D226" s="75">
        <v>10</v>
      </c>
      <c r="E226" s="87" t="s">
        <v>397</v>
      </c>
      <c r="F226" s="88">
        <f>8000*3.5+8000</f>
        <v>36000</v>
      </c>
      <c r="G226" s="59">
        <f t="shared" si="6"/>
        <v>360000</v>
      </c>
      <c r="H226" s="56" t="s">
        <v>416</v>
      </c>
      <c r="I226" s="28" t="s">
        <v>417</v>
      </c>
      <c r="J226" s="28" t="s">
        <v>40</v>
      </c>
      <c r="K226" s="28" t="s">
        <v>418</v>
      </c>
    </row>
    <row r="227" spans="1:11" ht="24" x14ac:dyDescent="0.25">
      <c r="A227" s="179">
        <v>224</v>
      </c>
      <c r="B227" s="183" t="s">
        <v>381</v>
      </c>
      <c r="C227" s="181" t="s">
        <v>396</v>
      </c>
      <c r="D227" s="75">
        <v>3</v>
      </c>
      <c r="E227" s="87" t="s">
        <v>397</v>
      </c>
      <c r="F227" s="88">
        <f>50000*3.5%+50000</f>
        <v>51750</v>
      </c>
      <c r="G227" s="59">
        <f t="shared" si="6"/>
        <v>155250</v>
      </c>
      <c r="H227" s="56" t="s">
        <v>416</v>
      </c>
      <c r="I227" s="28" t="s">
        <v>417</v>
      </c>
      <c r="J227" s="28" t="s">
        <v>40</v>
      </c>
      <c r="K227" s="28" t="s">
        <v>418</v>
      </c>
    </row>
    <row r="228" spans="1:11" ht="24" x14ac:dyDescent="0.25">
      <c r="A228" s="179">
        <v>225</v>
      </c>
      <c r="B228" s="183" t="s">
        <v>382</v>
      </c>
      <c r="C228" s="181" t="s">
        <v>396</v>
      </c>
      <c r="D228" s="75">
        <v>3</v>
      </c>
      <c r="E228" s="87" t="s">
        <v>397</v>
      </c>
      <c r="F228" s="88">
        <f>95000*3.5%+95000</f>
        <v>98325</v>
      </c>
      <c r="G228" s="59">
        <f t="shared" si="6"/>
        <v>294975</v>
      </c>
      <c r="H228" s="56" t="s">
        <v>416</v>
      </c>
      <c r="I228" s="28" t="s">
        <v>417</v>
      </c>
      <c r="J228" s="28" t="s">
        <v>40</v>
      </c>
      <c r="K228" s="28" t="s">
        <v>418</v>
      </c>
    </row>
    <row r="229" spans="1:11" ht="24" x14ac:dyDescent="0.25">
      <c r="A229" s="179">
        <v>226</v>
      </c>
      <c r="B229" s="183" t="s">
        <v>383</v>
      </c>
      <c r="C229" s="181" t="s">
        <v>396</v>
      </c>
      <c r="D229" s="75">
        <v>3</v>
      </c>
      <c r="E229" s="87" t="s">
        <v>397</v>
      </c>
      <c r="F229" s="88">
        <f>190000*3.5%+190000</f>
        <v>196650</v>
      </c>
      <c r="G229" s="59">
        <f t="shared" si="6"/>
        <v>589950</v>
      </c>
      <c r="H229" s="56" t="s">
        <v>416</v>
      </c>
      <c r="I229" s="28" t="s">
        <v>417</v>
      </c>
      <c r="J229" s="28" t="s">
        <v>40</v>
      </c>
      <c r="K229" s="28" t="s">
        <v>418</v>
      </c>
    </row>
    <row r="230" spans="1:11" ht="24" x14ac:dyDescent="0.25">
      <c r="A230" s="179">
        <v>227</v>
      </c>
      <c r="B230" s="183" t="s">
        <v>384</v>
      </c>
      <c r="C230" s="181" t="s">
        <v>396</v>
      </c>
      <c r="D230" s="75">
        <v>3</v>
      </c>
      <c r="E230" s="87" t="s">
        <v>397</v>
      </c>
      <c r="F230" s="88">
        <f>20000*3.5%+20000</f>
        <v>20700</v>
      </c>
      <c r="G230" s="59">
        <f t="shared" si="6"/>
        <v>62100</v>
      </c>
      <c r="H230" s="56" t="s">
        <v>416</v>
      </c>
      <c r="I230" s="28" t="s">
        <v>417</v>
      </c>
      <c r="J230" s="28" t="s">
        <v>40</v>
      </c>
      <c r="K230" s="28" t="s">
        <v>418</v>
      </c>
    </row>
    <row r="231" spans="1:11" ht="24" x14ac:dyDescent="0.25">
      <c r="A231" s="179">
        <v>228</v>
      </c>
      <c r="B231" s="183" t="s">
        <v>385</v>
      </c>
      <c r="C231" s="181" t="s">
        <v>396</v>
      </c>
      <c r="D231" s="75">
        <v>3</v>
      </c>
      <c r="E231" s="87" t="s">
        <v>397</v>
      </c>
      <c r="F231" s="88">
        <f>36000*3.5%+36000</f>
        <v>37260</v>
      </c>
      <c r="G231" s="59">
        <f t="shared" si="6"/>
        <v>111780</v>
      </c>
      <c r="H231" s="56" t="s">
        <v>416</v>
      </c>
      <c r="I231" s="28" t="s">
        <v>417</v>
      </c>
      <c r="J231" s="28" t="s">
        <v>40</v>
      </c>
      <c r="K231" s="28" t="s">
        <v>418</v>
      </c>
    </row>
    <row r="232" spans="1:11" ht="24" x14ac:dyDescent="0.25">
      <c r="A232" s="179">
        <v>229</v>
      </c>
      <c r="B232" s="183" t="s">
        <v>386</v>
      </c>
      <c r="C232" s="181" t="s">
        <v>396</v>
      </c>
      <c r="D232" s="75">
        <v>2</v>
      </c>
      <c r="E232" s="87" t="s">
        <v>397</v>
      </c>
      <c r="F232" s="88">
        <f>49000*3.5%+49000</f>
        <v>50715</v>
      </c>
      <c r="G232" s="59">
        <f t="shared" si="6"/>
        <v>101430</v>
      </c>
      <c r="H232" s="56" t="s">
        <v>416</v>
      </c>
      <c r="I232" s="28" t="s">
        <v>417</v>
      </c>
      <c r="J232" s="28" t="s">
        <v>40</v>
      </c>
      <c r="K232" s="28" t="s">
        <v>418</v>
      </c>
    </row>
    <row r="233" spans="1:11" ht="24" x14ac:dyDescent="0.25">
      <c r="A233" s="179">
        <v>230</v>
      </c>
      <c r="B233" s="183" t="s">
        <v>387</v>
      </c>
      <c r="C233" s="181" t="s">
        <v>396</v>
      </c>
      <c r="D233" s="75">
        <v>2</v>
      </c>
      <c r="E233" s="87" t="s">
        <v>397</v>
      </c>
      <c r="F233" s="88">
        <f>195000*3.5%+195000</f>
        <v>201825</v>
      </c>
      <c r="G233" s="59">
        <f t="shared" si="6"/>
        <v>403650</v>
      </c>
      <c r="H233" s="56" t="s">
        <v>416</v>
      </c>
      <c r="I233" s="28" t="s">
        <v>417</v>
      </c>
      <c r="J233" s="28" t="s">
        <v>40</v>
      </c>
      <c r="K233" s="28" t="s">
        <v>418</v>
      </c>
    </row>
    <row r="234" spans="1:11" ht="24" x14ac:dyDescent="0.25">
      <c r="A234" s="179">
        <v>231</v>
      </c>
      <c r="B234" s="183" t="s">
        <v>388</v>
      </c>
      <c r="C234" s="181" t="s">
        <v>396</v>
      </c>
      <c r="D234" s="75">
        <v>21</v>
      </c>
      <c r="E234" s="87" t="s">
        <v>397</v>
      </c>
      <c r="F234" s="91">
        <f>800*3.5%+800</f>
        <v>828</v>
      </c>
      <c r="G234" s="59">
        <f t="shared" si="6"/>
        <v>17388</v>
      </c>
      <c r="H234" s="56" t="s">
        <v>416</v>
      </c>
      <c r="I234" s="28" t="s">
        <v>417</v>
      </c>
      <c r="J234" s="28" t="s">
        <v>40</v>
      </c>
      <c r="K234" s="28" t="s">
        <v>418</v>
      </c>
    </row>
    <row r="235" spans="1:11" ht="24" x14ac:dyDescent="0.25">
      <c r="A235" s="179">
        <v>233</v>
      </c>
      <c r="B235" s="183" t="s">
        <v>389</v>
      </c>
      <c r="C235" s="181" t="s">
        <v>396</v>
      </c>
      <c r="D235" s="75">
        <v>10</v>
      </c>
      <c r="E235" s="87" t="s">
        <v>397</v>
      </c>
      <c r="F235" s="88">
        <f>1000*3.5%+1000</f>
        <v>1035</v>
      </c>
      <c r="G235" s="59">
        <f t="shared" si="6"/>
        <v>10350</v>
      </c>
      <c r="H235" s="56" t="s">
        <v>416</v>
      </c>
      <c r="I235" s="28" t="s">
        <v>417</v>
      </c>
      <c r="J235" s="28" t="s">
        <v>40</v>
      </c>
      <c r="K235" s="28" t="s">
        <v>418</v>
      </c>
    </row>
    <row r="236" spans="1:11" ht="24" x14ac:dyDescent="0.25">
      <c r="A236" s="179">
        <v>234</v>
      </c>
      <c r="B236" s="183" t="s">
        <v>390</v>
      </c>
      <c r="C236" s="181" t="s">
        <v>396</v>
      </c>
      <c r="D236" s="75">
        <v>3</v>
      </c>
      <c r="E236" s="87" t="s">
        <v>397</v>
      </c>
      <c r="F236" s="88">
        <f>1500*3.5%+1500</f>
        <v>1552.5</v>
      </c>
      <c r="G236" s="59">
        <f t="shared" si="6"/>
        <v>4657.5</v>
      </c>
      <c r="H236" s="56" t="s">
        <v>416</v>
      </c>
      <c r="I236" s="28" t="s">
        <v>417</v>
      </c>
      <c r="J236" s="28" t="s">
        <v>40</v>
      </c>
      <c r="K236" s="28" t="s">
        <v>418</v>
      </c>
    </row>
    <row r="237" spans="1:11" ht="24" x14ac:dyDescent="0.25">
      <c r="A237" s="179">
        <v>235</v>
      </c>
      <c r="B237" s="183" t="s">
        <v>391</v>
      </c>
      <c r="C237" s="181" t="s">
        <v>396</v>
      </c>
      <c r="D237" s="75">
        <v>3</v>
      </c>
      <c r="E237" s="87" t="s">
        <v>397</v>
      </c>
      <c r="F237" s="88">
        <f>2000*3.5%+2000</f>
        <v>2070</v>
      </c>
      <c r="G237" s="59">
        <f t="shared" si="6"/>
        <v>6210</v>
      </c>
      <c r="H237" s="56" t="s">
        <v>416</v>
      </c>
      <c r="I237" s="28" t="s">
        <v>417</v>
      </c>
      <c r="J237" s="28" t="s">
        <v>40</v>
      </c>
      <c r="K237" s="28" t="s">
        <v>418</v>
      </c>
    </row>
    <row r="238" spans="1:11" ht="24" x14ac:dyDescent="0.25">
      <c r="A238" s="179">
        <v>236</v>
      </c>
      <c r="B238" s="183" t="s">
        <v>392</v>
      </c>
      <c r="C238" s="181" t="s">
        <v>396</v>
      </c>
      <c r="D238" s="75">
        <v>4</v>
      </c>
      <c r="E238" s="87" t="s">
        <v>397</v>
      </c>
      <c r="F238" s="88">
        <f>23000*3.5%+23000</f>
        <v>23805</v>
      </c>
      <c r="G238" s="59">
        <f t="shared" si="6"/>
        <v>95220</v>
      </c>
      <c r="H238" s="56" t="s">
        <v>416</v>
      </c>
      <c r="I238" s="28" t="s">
        <v>417</v>
      </c>
      <c r="J238" s="28" t="s">
        <v>40</v>
      </c>
      <c r="K238" s="28" t="s">
        <v>418</v>
      </c>
    </row>
    <row r="239" spans="1:11" ht="24" x14ac:dyDescent="0.25">
      <c r="A239" s="179">
        <v>237</v>
      </c>
      <c r="B239" s="183" t="s">
        <v>393</v>
      </c>
      <c r="C239" s="181" t="s">
        <v>396</v>
      </c>
      <c r="D239" s="75">
        <v>3</v>
      </c>
      <c r="E239" s="87" t="s">
        <v>397</v>
      </c>
      <c r="F239" s="77">
        <f>15000*3.5%+15000</f>
        <v>15525</v>
      </c>
      <c r="G239" s="59">
        <f t="shared" si="6"/>
        <v>46575</v>
      </c>
      <c r="H239" s="56" t="s">
        <v>416</v>
      </c>
      <c r="I239" s="28" t="s">
        <v>417</v>
      </c>
      <c r="J239" s="28" t="s">
        <v>40</v>
      </c>
      <c r="K239" s="28" t="s">
        <v>418</v>
      </c>
    </row>
    <row r="240" spans="1:11" ht="24" x14ac:dyDescent="0.25">
      <c r="A240" s="179">
        <v>238</v>
      </c>
      <c r="B240" s="183" t="s">
        <v>394</v>
      </c>
      <c r="C240" s="181" t="s">
        <v>396</v>
      </c>
      <c r="D240" s="75">
        <v>3</v>
      </c>
      <c r="E240" s="87" t="s">
        <v>397</v>
      </c>
      <c r="F240" s="88">
        <f>9800*3.5%+9800</f>
        <v>10143</v>
      </c>
      <c r="G240" s="59">
        <f t="shared" si="6"/>
        <v>30429</v>
      </c>
      <c r="H240" s="56" t="s">
        <v>416</v>
      </c>
      <c r="I240" s="28" t="s">
        <v>417</v>
      </c>
      <c r="J240" s="28" t="s">
        <v>40</v>
      </c>
      <c r="K240" s="28" t="s">
        <v>418</v>
      </c>
    </row>
    <row r="241" spans="1:11" ht="24" x14ac:dyDescent="0.25">
      <c r="A241" s="179">
        <v>239</v>
      </c>
      <c r="B241" s="183" t="s">
        <v>395</v>
      </c>
      <c r="C241" s="181" t="s">
        <v>396</v>
      </c>
      <c r="D241" s="75">
        <v>3</v>
      </c>
      <c r="E241" s="87" t="s">
        <v>397</v>
      </c>
      <c r="F241" s="88">
        <f>9500*3.5%+9500</f>
        <v>9832.5</v>
      </c>
      <c r="G241" s="59">
        <f t="shared" si="6"/>
        <v>29497.5</v>
      </c>
      <c r="H241" s="56" t="s">
        <v>416</v>
      </c>
      <c r="I241" s="28" t="s">
        <v>417</v>
      </c>
      <c r="J241" s="28" t="s">
        <v>40</v>
      </c>
      <c r="K241" s="28" t="s">
        <v>418</v>
      </c>
    </row>
    <row r="242" spans="1:11" ht="24" x14ac:dyDescent="0.25">
      <c r="A242" s="180">
        <v>240</v>
      </c>
      <c r="B242" s="184" t="s">
        <v>419</v>
      </c>
      <c r="C242" s="181" t="s">
        <v>396</v>
      </c>
      <c r="D242" s="75">
        <v>2</v>
      </c>
      <c r="E242" s="87" t="s">
        <v>397</v>
      </c>
      <c r="F242" s="88">
        <f>16000*3.5%+16000</f>
        <v>16560</v>
      </c>
      <c r="G242" s="59">
        <f t="shared" si="6"/>
        <v>33120</v>
      </c>
      <c r="H242" s="56" t="s">
        <v>416</v>
      </c>
      <c r="I242" s="28" t="s">
        <v>417</v>
      </c>
      <c r="J242" s="28" t="s">
        <v>40</v>
      </c>
      <c r="K242" s="28" t="s">
        <v>418</v>
      </c>
    </row>
    <row r="243" spans="1:11" ht="24" x14ac:dyDescent="0.25">
      <c r="A243" s="180">
        <v>241</v>
      </c>
      <c r="B243" s="184" t="s">
        <v>420</v>
      </c>
      <c r="C243" s="181" t="s">
        <v>396</v>
      </c>
      <c r="D243" s="75">
        <v>1</v>
      </c>
      <c r="E243" s="87" t="s">
        <v>397</v>
      </c>
      <c r="F243" s="88">
        <f>25875-8082</f>
        <v>17793</v>
      </c>
      <c r="G243" s="59">
        <f t="shared" si="6"/>
        <v>17793</v>
      </c>
      <c r="H243" s="56" t="s">
        <v>416</v>
      </c>
      <c r="I243" s="28" t="s">
        <v>417</v>
      </c>
      <c r="J243" s="28" t="s">
        <v>40</v>
      </c>
      <c r="K243" s="28" t="s">
        <v>418</v>
      </c>
    </row>
    <row r="244" spans="1:11" ht="24" x14ac:dyDescent="0.25">
      <c r="A244" s="180">
        <v>242</v>
      </c>
      <c r="B244" s="184" t="s">
        <v>421</v>
      </c>
      <c r="C244" s="181" t="s">
        <v>396</v>
      </c>
      <c r="D244" s="75">
        <v>1</v>
      </c>
      <c r="E244" s="87" t="s">
        <v>397</v>
      </c>
      <c r="F244" s="77">
        <f>15000*3.5%+15000</f>
        <v>15525</v>
      </c>
      <c r="G244" s="59">
        <f t="shared" si="6"/>
        <v>15525</v>
      </c>
      <c r="H244" s="56" t="s">
        <v>416</v>
      </c>
      <c r="I244" s="28" t="s">
        <v>417</v>
      </c>
      <c r="J244" s="28" t="s">
        <v>40</v>
      </c>
      <c r="K244" s="28" t="s">
        <v>418</v>
      </c>
    </row>
    <row r="245" spans="1:11" x14ac:dyDescent="0.25">
      <c r="G245" s="172">
        <f>SUM(G4:G244)</f>
        <v>100000000</v>
      </c>
    </row>
  </sheetData>
  <mergeCells count="3">
    <mergeCell ref="A1:K1"/>
    <mergeCell ref="A2:C2"/>
    <mergeCell ref="I2: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J5" sqref="J5"/>
    </sheetView>
  </sheetViews>
  <sheetFormatPr baseColWidth="10" defaultRowHeight="15" x14ac:dyDescent="0.25"/>
  <cols>
    <col min="1" max="1" width="5.140625" customWidth="1"/>
    <col min="2" max="2" width="23.85546875" customWidth="1"/>
    <col min="3" max="3" width="17.28515625" customWidth="1"/>
    <col min="4" max="4" width="6.140625" customWidth="1"/>
    <col min="5" max="5" width="7.42578125" customWidth="1"/>
    <col min="6" max="6" width="11" customWidth="1"/>
    <col min="7" max="7" width="11.7109375" bestFit="1" customWidth="1"/>
    <col min="11" max="11" width="15.7109375" customWidth="1"/>
  </cols>
  <sheetData>
    <row r="1" spans="1:11" x14ac:dyDescent="0.25">
      <c r="A1" t="s">
        <v>12</v>
      </c>
    </row>
    <row r="2" spans="1:11" ht="15.75" x14ac:dyDescent="0.25">
      <c r="A2" s="240" t="s">
        <v>733</v>
      </c>
      <c r="B2" s="241"/>
      <c r="C2" s="241"/>
      <c r="D2" s="241"/>
      <c r="E2" s="241"/>
      <c r="F2" s="241"/>
      <c r="G2" s="241"/>
      <c r="H2" s="241"/>
      <c r="I2" s="241"/>
      <c r="J2" s="241"/>
      <c r="K2" s="242"/>
    </row>
    <row r="3" spans="1:11" ht="15.75" x14ac:dyDescent="0.25">
      <c r="A3" s="237" t="s">
        <v>686</v>
      </c>
      <c r="B3" s="238"/>
      <c r="C3" s="238"/>
      <c r="D3" s="86"/>
      <c r="E3" s="86"/>
      <c r="F3" s="86"/>
      <c r="G3" s="86"/>
      <c r="H3" s="86"/>
      <c r="I3" s="238" t="s">
        <v>1082</v>
      </c>
      <c r="J3" s="238"/>
      <c r="K3" s="239"/>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72" x14ac:dyDescent="0.25">
      <c r="A5" s="38">
        <v>1</v>
      </c>
      <c r="B5" s="36" t="s">
        <v>920</v>
      </c>
      <c r="C5" s="36" t="s">
        <v>684</v>
      </c>
      <c r="D5" s="38">
        <v>1</v>
      </c>
      <c r="E5" s="38" t="s">
        <v>11</v>
      </c>
      <c r="F5" s="94">
        <v>60000000</v>
      </c>
      <c r="G5" s="94">
        <v>60000000</v>
      </c>
      <c r="H5" s="38" t="s">
        <v>611</v>
      </c>
      <c r="I5" s="38" t="s">
        <v>536</v>
      </c>
      <c r="J5" s="38" t="s">
        <v>685</v>
      </c>
      <c r="K5" s="36" t="s">
        <v>646</v>
      </c>
    </row>
    <row r="6" spans="1:11" x14ac:dyDescent="0.25">
      <c r="A6" s="93"/>
      <c r="B6" s="93"/>
      <c r="C6" s="93"/>
      <c r="D6" s="93"/>
      <c r="E6" s="93"/>
      <c r="F6" s="93"/>
      <c r="G6" s="93"/>
      <c r="H6" s="93"/>
      <c r="I6" s="93"/>
      <c r="J6" s="93"/>
      <c r="K6" s="93"/>
    </row>
    <row r="7" spans="1:11" x14ac:dyDescent="0.25">
      <c r="A7" s="10"/>
      <c r="B7" s="10"/>
      <c r="C7" s="10"/>
      <c r="D7" s="10"/>
      <c r="E7" s="10"/>
      <c r="F7" s="10"/>
      <c r="G7" s="10"/>
      <c r="H7" s="10"/>
      <c r="I7" s="10"/>
      <c r="J7" s="10"/>
      <c r="K7" s="10"/>
    </row>
  </sheetData>
  <mergeCells count="3">
    <mergeCell ref="A2:K2"/>
    <mergeCell ref="A3:C3"/>
    <mergeCell ref="I3:K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A3" sqref="A3:L3"/>
    </sheetView>
  </sheetViews>
  <sheetFormatPr baseColWidth="10" defaultRowHeight="15" x14ac:dyDescent="0.25"/>
  <cols>
    <col min="1" max="1" width="7.28515625" customWidth="1"/>
    <col min="2" max="2" width="27" customWidth="1"/>
    <col min="3" max="3" width="18" customWidth="1"/>
    <col min="4" max="4" width="6.85546875" customWidth="1"/>
    <col min="5" max="5" width="7.5703125" customWidth="1"/>
    <col min="9" max="9" width="8.140625" customWidth="1"/>
    <col min="11" max="11" width="9.42578125" customWidth="1"/>
  </cols>
  <sheetData>
    <row r="1" spans="1:12" ht="15.75" x14ac:dyDescent="0.25">
      <c r="A1" s="220" t="s">
        <v>734</v>
      </c>
      <c r="B1" s="221"/>
      <c r="C1" s="221"/>
      <c r="D1" s="221"/>
      <c r="E1" s="221"/>
      <c r="F1" s="221"/>
      <c r="G1" s="221"/>
      <c r="H1" s="221"/>
      <c r="I1" s="221"/>
      <c r="J1" s="221"/>
      <c r="K1" s="221"/>
      <c r="L1" s="222"/>
    </row>
    <row r="2" spans="1:12" ht="15.75" x14ac:dyDescent="0.25">
      <c r="A2" s="227" t="s">
        <v>706</v>
      </c>
      <c r="B2" s="228"/>
      <c r="C2" s="228"/>
      <c r="D2" s="63"/>
      <c r="E2" s="63"/>
      <c r="F2" s="63"/>
      <c r="G2" s="63"/>
      <c r="H2" s="63"/>
      <c r="I2" s="228" t="s">
        <v>1083</v>
      </c>
      <c r="J2" s="228"/>
      <c r="K2" s="228"/>
      <c r="L2" s="229"/>
    </row>
    <row r="3" spans="1:12" ht="45" x14ac:dyDescent="0.25">
      <c r="A3" s="152" t="s">
        <v>0</v>
      </c>
      <c r="B3" s="153" t="s">
        <v>1</v>
      </c>
      <c r="C3" s="153" t="s">
        <v>2</v>
      </c>
      <c r="D3" s="153" t="s">
        <v>3</v>
      </c>
      <c r="E3" s="153" t="s">
        <v>4</v>
      </c>
      <c r="F3" s="153" t="s">
        <v>147</v>
      </c>
      <c r="G3" s="153" t="s">
        <v>9</v>
      </c>
      <c r="H3" s="153" t="s">
        <v>6</v>
      </c>
      <c r="I3" s="153" t="s">
        <v>7</v>
      </c>
      <c r="J3" s="153" t="s">
        <v>604</v>
      </c>
      <c r="K3" s="159" t="s">
        <v>8</v>
      </c>
      <c r="L3" s="159" t="s">
        <v>10</v>
      </c>
    </row>
    <row r="4" spans="1:12" ht="72" x14ac:dyDescent="0.25">
      <c r="A4" s="28">
        <v>1</v>
      </c>
      <c r="B4" s="28" t="s">
        <v>921</v>
      </c>
      <c r="C4" s="28" t="s">
        <v>638</v>
      </c>
      <c r="D4" s="28">
        <v>1</v>
      </c>
      <c r="E4" s="28" t="s">
        <v>11</v>
      </c>
      <c r="F4" s="173">
        <v>80000000</v>
      </c>
      <c r="G4" s="173">
        <f>D4*F4</f>
        <v>80000000</v>
      </c>
      <c r="H4" s="28" t="s">
        <v>535</v>
      </c>
      <c r="I4" s="28" t="s">
        <v>536</v>
      </c>
      <c r="J4" s="154" t="s">
        <v>629</v>
      </c>
      <c r="K4" s="28" t="s">
        <v>40</v>
      </c>
      <c r="L4" s="28" t="s">
        <v>922</v>
      </c>
    </row>
    <row r="5" spans="1:12" x14ac:dyDescent="0.25">
      <c r="A5" s="10"/>
      <c r="B5" s="10"/>
      <c r="C5" s="10"/>
      <c r="D5" s="10" t="s">
        <v>12</v>
      </c>
      <c r="E5" s="10"/>
      <c r="F5" s="10"/>
      <c r="G5" s="10"/>
      <c r="H5" s="10"/>
      <c r="I5" s="10"/>
      <c r="J5" s="10"/>
      <c r="K5" s="10"/>
      <c r="L5" s="10"/>
    </row>
  </sheetData>
  <mergeCells count="3">
    <mergeCell ref="A1:L1"/>
    <mergeCell ref="A2:C2"/>
    <mergeCell ref="I2:L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H14" sqref="H14"/>
    </sheetView>
  </sheetViews>
  <sheetFormatPr baseColWidth="10" defaultRowHeight="15" x14ac:dyDescent="0.25"/>
  <cols>
    <col min="1" max="1" width="7.28515625" customWidth="1"/>
    <col min="2" max="2" width="27" customWidth="1"/>
    <col min="3" max="3" width="18" customWidth="1"/>
    <col min="4" max="4" width="6.85546875" customWidth="1"/>
    <col min="5" max="5" width="7.5703125" customWidth="1"/>
    <col min="9" max="9" width="8.140625" customWidth="1"/>
    <col min="10" max="10" width="9.42578125" customWidth="1"/>
  </cols>
  <sheetData>
    <row r="1" spans="1:11" x14ac:dyDescent="0.25">
      <c r="A1" s="10"/>
      <c r="B1" s="10"/>
      <c r="C1" s="10"/>
      <c r="D1" s="10"/>
      <c r="E1" s="10"/>
      <c r="F1" s="10"/>
      <c r="G1" s="10"/>
      <c r="H1" s="10"/>
      <c r="I1" s="10"/>
      <c r="J1" s="10"/>
      <c r="K1" s="10"/>
    </row>
    <row r="2" spans="1:11" ht="15.75" x14ac:dyDescent="0.25">
      <c r="A2" s="234" t="s">
        <v>735</v>
      </c>
      <c r="B2" s="235"/>
      <c r="C2" s="235"/>
      <c r="D2" s="235"/>
      <c r="E2" s="235"/>
      <c r="F2" s="235"/>
      <c r="G2" s="235"/>
      <c r="H2" s="235"/>
      <c r="I2" s="235"/>
      <c r="J2" s="235"/>
      <c r="K2" s="236"/>
    </row>
    <row r="3" spans="1:11" ht="15.75" x14ac:dyDescent="0.25">
      <c r="A3" s="237" t="s">
        <v>640</v>
      </c>
      <c r="B3" s="238"/>
      <c r="C3" s="238"/>
      <c r="D3" s="86"/>
      <c r="E3" s="86"/>
      <c r="F3" s="86"/>
      <c r="G3" s="86"/>
      <c r="H3" s="86"/>
      <c r="I3" s="238" t="s">
        <v>1084</v>
      </c>
      <c r="J3" s="238"/>
      <c r="K3" s="239"/>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24" x14ac:dyDescent="0.25">
      <c r="A5" s="28">
        <v>1</v>
      </c>
      <c r="B5" s="28" t="s">
        <v>923</v>
      </c>
      <c r="C5" s="28" t="s">
        <v>607</v>
      </c>
      <c r="D5" s="28">
        <v>1</v>
      </c>
      <c r="E5" s="28" t="s">
        <v>11</v>
      </c>
      <c r="F5" s="185">
        <v>80000000</v>
      </c>
      <c r="G5" s="185">
        <f>D5*F5</f>
        <v>80000000</v>
      </c>
      <c r="H5" s="28" t="s">
        <v>535</v>
      </c>
      <c r="I5" s="28" t="s">
        <v>536</v>
      </c>
      <c r="J5" s="28" t="s">
        <v>40</v>
      </c>
      <c r="K5" s="28" t="s">
        <v>639</v>
      </c>
    </row>
    <row r="6" spans="1:11" x14ac:dyDescent="0.25">
      <c r="A6" s="10"/>
      <c r="B6" s="10"/>
      <c r="C6" s="10"/>
      <c r="D6" s="10"/>
      <c r="E6" s="10"/>
      <c r="F6" s="10"/>
      <c r="G6" s="10"/>
      <c r="H6" s="10"/>
      <c r="I6" s="10"/>
      <c r="J6" s="10"/>
      <c r="K6" s="10"/>
    </row>
    <row r="7" spans="1:11" x14ac:dyDescent="0.25">
      <c r="A7" s="10"/>
      <c r="B7" s="10"/>
      <c r="C7" s="10"/>
      <c r="D7" s="10"/>
      <c r="E7" s="10"/>
      <c r="F7" s="10"/>
      <c r="G7" s="10"/>
      <c r="H7" s="10"/>
      <c r="I7" s="10"/>
      <c r="J7" s="10"/>
      <c r="K7" s="10"/>
    </row>
  </sheetData>
  <mergeCells count="3">
    <mergeCell ref="A2:K2"/>
    <mergeCell ref="A3:C3"/>
    <mergeCell ref="I3:K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A4" sqref="A4:L4"/>
    </sheetView>
  </sheetViews>
  <sheetFormatPr baseColWidth="10" defaultRowHeight="15" x14ac:dyDescent="0.25"/>
  <cols>
    <col min="1" max="1" width="7.28515625" customWidth="1"/>
    <col min="2" max="2" width="27" customWidth="1"/>
    <col min="3" max="3" width="18" customWidth="1"/>
    <col min="4" max="4" width="6.85546875" customWidth="1"/>
    <col min="5" max="5" width="7.5703125" customWidth="1"/>
    <col min="9" max="9" width="8.140625" customWidth="1"/>
    <col min="11" max="11" width="9.42578125" customWidth="1"/>
  </cols>
  <sheetData>
    <row r="1" spans="1:12" x14ac:dyDescent="0.25">
      <c r="A1" s="10"/>
      <c r="B1" s="10"/>
      <c r="C1" s="10"/>
      <c r="D1" s="10"/>
      <c r="E1" s="10"/>
      <c r="F1" s="10"/>
      <c r="G1" s="10"/>
      <c r="H1" s="10"/>
      <c r="I1" s="10"/>
      <c r="J1" s="10"/>
      <c r="K1" s="10"/>
      <c r="L1" s="10"/>
    </row>
    <row r="2" spans="1:12" ht="15.75" x14ac:dyDescent="0.25">
      <c r="A2" s="234" t="s">
        <v>736</v>
      </c>
      <c r="B2" s="235"/>
      <c r="C2" s="235"/>
      <c r="D2" s="235"/>
      <c r="E2" s="235"/>
      <c r="F2" s="235"/>
      <c r="G2" s="235"/>
      <c r="H2" s="235"/>
      <c r="I2" s="235"/>
      <c r="J2" s="235"/>
      <c r="K2" s="235"/>
      <c r="L2" s="236"/>
    </row>
    <row r="3" spans="1:12" ht="15.75" x14ac:dyDescent="0.25">
      <c r="A3" s="237" t="s">
        <v>641</v>
      </c>
      <c r="B3" s="238"/>
      <c r="C3" s="238"/>
      <c r="D3" s="86"/>
      <c r="E3" s="86"/>
      <c r="F3" s="86"/>
      <c r="G3" s="86"/>
      <c r="H3" s="86"/>
      <c r="I3" s="238" t="s">
        <v>1085</v>
      </c>
      <c r="J3" s="238"/>
      <c r="K3" s="238"/>
      <c r="L3" s="239"/>
    </row>
    <row r="4" spans="1:12" ht="45" x14ac:dyDescent="0.25">
      <c r="A4" s="152" t="s">
        <v>0</v>
      </c>
      <c r="B4" s="153" t="s">
        <v>1</v>
      </c>
      <c r="C4" s="153" t="s">
        <v>2</v>
      </c>
      <c r="D4" s="153" t="s">
        <v>3</v>
      </c>
      <c r="E4" s="153" t="s">
        <v>4</v>
      </c>
      <c r="F4" s="153" t="s">
        <v>147</v>
      </c>
      <c r="G4" s="153" t="s">
        <v>9</v>
      </c>
      <c r="H4" s="153" t="s">
        <v>6</v>
      </c>
      <c r="I4" s="153" t="s">
        <v>7</v>
      </c>
      <c r="J4" s="153" t="s">
        <v>604</v>
      </c>
      <c r="K4" s="159" t="s">
        <v>8</v>
      </c>
      <c r="L4" s="159" t="s">
        <v>10</v>
      </c>
    </row>
    <row r="5" spans="1:12" ht="36" x14ac:dyDescent="0.25">
      <c r="A5" s="28">
        <v>1</v>
      </c>
      <c r="B5" s="28" t="s">
        <v>924</v>
      </c>
      <c r="C5" s="36" t="s">
        <v>607</v>
      </c>
      <c r="D5" s="28">
        <v>1</v>
      </c>
      <c r="E5" s="28" t="s">
        <v>11</v>
      </c>
      <c r="F5" s="173">
        <v>1100000000</v>
      </c>
      <c r="G5" s="173">
        <f>D5*F5</f>
        <v>1100000000</v>
      </c>
      <c r="H5" s="28" t="s">
        <v>611</v>
      </c>
      <c r="I5" s="28" t="s">
        <v>536</v>
      </c>
      <c r="J5" s="171" t="s">
        <v>609</v>
      </c>
      <c r="K5" s="28" t="s">
        <v>40</v>
      </c>
      <c r="L5" s="28" t="s">
        <v>645</v>
      </c>
    </row>
    <row r="6" spans="1:12" x14ac:dyDescent="0.25">
      <c r="A6" s="10"/>
      <c r="B6" s="10"/>
      <c r="C6" s="10"/>
      <c r="D6" s="10"/>
      <c r="E6" s="10"/>
      <c r="F6" s="10"/>
      <c r="G6" s="10"/>
      <c r="H6" s="10"/>
      <c r="I6" s="10"/>
      <c r="J6" s="10"/>
      <c r="K6" s="10"/>
      <c r="L6" s="10"/>
    </row>
  </sheetData>
  <mergeCells count="3">
    <mergeCell ref="A2:L2"/>
    <mergeCell ref="A3:C3"/>
    <mergeCell ref="I3:L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K14" sqref="K14"/>
    </sheetView>
  </sheetViews>
  <sheetFormatPr baseColWidth="10" defaultRowHeight="15" x14ac:dyDescent="0.25"/>
  <cols>
    <col min="1" max="1" width="7.28515625" customWidth="1"/>
    <col min="2" max="2" width="27" customWidth="1"/>
    <col min="3" max="3" width="18" customWidth="1"/>
    <col min="4" max="4" width="6.85546875" customWidth="1"/>
    <col min="5" max="5" width="7.5703125" customWidth="1"/>
    <col min="9" max="9" width="8.140625" customWidth="1"/>
    <col min="10" max="10" width="9.42578125" customWidth="1"/>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ht="15.75" x14ac:dyDescent="0.25">
      <c r="A3" s="234" t="s">
        <v>737</v>
      </c>
      <c r="B3" s="235"/>
      <c r="C3" s="235"/>
      <c r="D3" s="235"/>
      <c r="E3" s="235"/>
      <c r="F3" s="235"/>
      <c r="G3" s="235"/>
      <c r="H3" s="235"/>
      <c r="I3" s="235"/>
      <c r="J3" s="235"/>
      <c r="K3" s="236"/>
    </row>
    <row r="4" spans="1:11" ht="15.75" customHeight="1" x14ac:dyDescent="0.25">
      <c r="A4" s="237" t="s">
        <v>642</v>
      </c>
      <c r="B4" s="238"/>
      <c r="C4" s="238"/>
      <c r="D4" s="86"/>
      <c r="E4" s="86"/>
      <c r="F4" s="86"/>
      <c r="G4" s="86"/>
      <c r="H4" s="243" t="s">
        <v>1086</v>
      </c>
      <c r="I4" s="243"/>
      <c r="J4" s="243"/>
      <c r="K4" s="244"/>
    </row>
    <row r="5" spans="1:11" ht="45" x14ac:dyDescent="0.25">
      <c r="A5" s="152" t="s">
        <v>0</v>
      </c>
      <c r="B5" s="153" t="s">
        <v>1</v>
      </c>
      <c r="C5" s="153" t="s">
        <v>2</v>
      </c>
      <c r="D5" s="153" t="s">
        <v>3</v>
      </c>
      <c r="E5" s="153" t="s">
        <v>4</v>
      </c>
      <c r="F5" s="153" t="s">
        <v>147</v>
      </c>
      <c r="G5" s="153" t="s">
        <v>9</v>
      </c>
      <c r="H5" s="153" t="s">
        <v>6</v>
      </c>
      <c r="I5" s="153" t="s">
        <v>7</v>
      </c>
      <c r="J5" s="159" t="s">
        <v>8</v>
      </c>
      <c r="K5" s="159" t="s">
        <v>10</v>
      </c>
    </row>
    <row r="6" spans="1:11" ht="60" x14ac:dyDescent="0.25">
      <c r="A6" s="28">
        <v>1</v>
      </c>
      <c r="B6" s="28" t="s">
        <v>925</v>
      </c>
      <c r="C6" s="36" t="s">
        <v>607</v>
      </c>
      <c r="D6" s="28">
        <v>1</v>
      </c>
      <c r="E6" s="28" t="s">
        <v>11</v>
      </c>
      <c r="F6" s="46">
        <v>15750000</v>
      </c>
      <c r="G6" s="46">
        <f>D6*F6</f>
        <v>15750000</v>
      </c>
      <c r="H6" s="28" t="s">
        <v>535</v>
      </c>
      <c r="I6" s="28" t="s">
        <v>536</v>
      </c>
      <c r="J6" s="28" t="s">
        <v>40</v>
      </c>
      <c r="K6" s="36" t="s">
        <v>646</v>
      </c>
    </row>
    <row r="7" spans="1:11" x14ac:dyDescent="0.25">
      <c r="A7" s="10"/>
      <c r="B7" s="10"/>
      <c r="C7" s="10"/>
      <c r="D7" s="10"/>
      <c r="E7" s="10"/>
      <c r="F7" s="10"/>
      <c r="G7" s="10"/>
      <c r="H7" s="10"/>
      <c r="I7" s="10"/>
      <c r="J7" s="10"/>
      <c r="K7" s="10"/>
    </row>
    <row r="8" spans="1:11" x14ac:dyDescent="0.25">
      <c r="A8" s="10"/>
      <c r="B8" s="10"/>
      <c r="C8" s="10"/>
      <c r="D8" s="10"/>
      <c r="E8" s="10"/>
      <c r="F8" s="10"/>
      <c r="G8" s="10"/>
      <c r="H8" s="10"/>
      <c r="I8" s="10"/>
      <c r="J8" s="10"/>
      <c r="K8" s="10"/>
    </row>
  </sheetData>
  <mergeCells count="3">
    <mergeCell ref="A3:K3"/>
    <mergeCell ref="A4:C4"/>
    <mergeCell ref="H4:K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workbookViewId="0">
      <selection activeCell="G18" sqref="G18"/>
    </sheetView>
  </sheetViews>
  <sheetFormatPr baseColWidth="10" defaultRowHeight="15" x14ac:dyDescent="0.25"/>
  <cols>
    <col min="1" max="1" width="6.140625" customWidth="1"/>
    <col min="2" max="2" width="26.85546875" customWidth="1"/>
    <col min="3" max="3" width="22.5703125" customWidth="1"/>
    <col min="4" max="4" width="6.42578125" customWidth="1"/>
    <col min="5" max="5" width="6.5703125" customWidth="1"/>
    <col min="6" max="6" width="10.42578125" customWidth="1"/>
    <col min="7" max="7" width="9.7109375" customWidth="1"/>
    <col min="10" max="10" width="20" customWidth="1"/>
  </cols>
  <sheetData>
    <row r="2" spans="1:10" x14ac:dyDescent="0.25">
      <c r="A2" s="40"/>
      <c r="B2" s="40"/>
      <c r="C2" s="40"/>
      <c r="D2" s="40"/>
      <c r="E2" s="40"/>
      <c r="F2" s="40"/>
      <c r="G2" s="40"/>
      <c r="H2" s="40"/>
      <c r="I2" s="40"/>
      <c r="J2" s="40"/>
    </row>
    <row r="3" spans="1:10" ht="15.75" x14ac:dyDescent="0.25">
      <c r="A3" s="191" t="s">
        <v>720</v>
      </c>
      <c r="B3" s="192"/>
      <c r="C3" s="193"/>
      <c r="D3" s="193"/>
      <c r="E3" s="193"/>
      <c r="F3" s="193"/>
      <c r="G3" s="193"/>
      <c r="H3" s="193"/>
      <c r="I3" s="193"/>
      <c r="J3" s="193"/>
    </row>
    <row r="4" spans="1:10" x14ac:dyDescent="0.25">
      <c r="A4" s="42"/>
      <c r="B4" s="47" t="s">
        <v>606</v>
      </c>
      <c r="C4" s="48"/>
      <c r="D4" s="48"/>
      <c r="E4" s="48"/>
      <c r="F4" s="48"/>
      <c r="G4" s="48"/>
      <c r="H4" s="48"/>
      <c r="I4" s="190" t="s">
        <v>1104</v>
      </c>
      <c r="J4" s="194"/>
    </row>
    <row r="5" spans="1:10" ht="33.75" x14ac:dyDescent="0.25">
      <c r="A5" s="152" t="s">
        <v>0</v>
      </c>
      <c r="B5" s="153" t="s">
        <v>1</v>
      </c>
      <c r="C5" s="153" t="s">
        <v>2</v>
      </c>
      <c r="D5" s="153" t="s">
        <v>3</v>
      </c>
      <c r="E5" s="153" t="s">
        <v>4</v>
      </c>
      <c r="F5" s="153" t="s">
        <v>5</v>
      </c>
      <c r="G5" s="153" t="s">
        <v>1102</v>
      </c>
      <c r="H5" s="153" t="s">
        <v>6</v>
      </c>
      <c r="I5" s="153" t="s">
        <v>8</v>
      </c>
      <c r="J5" s="153" t="s">
        <v>601</v>
      </c>
    </row>
    <row r="6" spans="1:10" ht="36" x14ac:dyDescent="0.25">
      <c r="A6" s="29">
        <v>1</v>
      </c>
      <c r="B6" s="49" t="s">
        <v>605</v>
      </c>
      <c r="C6" s="49" t="s">
        <v>607</v>
      </c>
      <c r="D6" s="41">
        <v>1</v>
      </c>
      <c r="E6" s="41" t="s">
        <v>11</v>
      </c>
      <c r="F6" s="150">
        <v>3260250</v>
      </c>
      <c r="G6" s="150">
        <v>3260250</v>
      </c>
      <c r="H6" s="35" t="s">
        <v>611</v>
      </c>
      <c r="I6" s="29" t="s">
        <v>40</v>
      </c>
      <c r="J6" s="28" t="s">
        <v>612</v>
      </c>
    </row>
    <row r="7" spans="1:10" ht="24" x14ac:dyDescent="0.25">
      <c r="A7" s="29">
        <v>2</v>
      </c>
      <c r="B7" s="50" t="s">
        <v>610</v>
      </c>
      <c r="C7" s="49" t="s">
        <v>608</v>
      </c>
      <c r="D7" s="41">
        <v>1</v>
      </c>
      <c r="E7" s="41" t="s">
        <v>11</v>
      </c>
      <c r="F7" s="150">
        <v>3260250</v>
      </c>
      <c r="G7" s="150">
        <v>3260250</v>
      </c>
      <c r="H7" s="35" t="s">
        <v>611</v>
      </c>
      <c r="I7" s="29" t="s">
        <v>40</v>
      </c>
      <c r="J7" s="28" t="s">
        <v>613</v>
      </c>
    </row>
    <row r="8" spans="1:10" x14ac:dyDescent="0.25">
      <c r="A8" s="29" t="s">
        <v>12</v>
      </c>
      <c r="B8" s="29"/>
      <c r="C8" s="29"/>
      <c r="D8" s="29"/>
      <c r="E8" s="29"/>
      <c r="F8" s="34" t="s">
        <v>12</v>
      </c>
      <c r="G8" s="150">
        <f>G6+G7</f>
        <v>6520500</v>
      </c>
      <c r="H8" s="35"/>
      <c r="I8" s="29"/>
      <c r="J8" s="29"/>
    </row>
  </sheetData>
  <mergeCells count="2">
    <mergeCell ref="A3:J3"/>
    <mergeCell ref="I4:J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H4" sqref="H4:K4"/>
    </sheetView>
  </sheetViews>
  <sheetFormatPr baseColWidth="10" defaultRowHeight="15" x14ac:dyDescent="0.25"/>
  <cols>
    <col min="1" max="1" width="7.28515625" customWidth="1"/>
    <col min="2" max="2" width="27" customWidth="1"/>
    <col min="3" max="3" width="18" customWidth="1"/>
    <col min="4" max="4" width="6.85546875" customWidth="1"/>
    <col min="5" max="5" width="7.5703125" customWidth="1"/>
    <col min="9" max="9" width="8.140625" customWidth="1"/>
    <col min="10" max="10" width="9.42578125" customWidth="1"/>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ht="15.75" x14ac:dyDescent="0.25">
      <c r="A3" s="234" t="s">
        <v>738</v>
      </c>
      <c r="B3" s="235"/>
      <c r="C3" s="235"/>
      <c r="D3" s="235"/>
      <c r="E3" s="235"/>
      <c r="F3" s="235"/>
      <c r="G3" s="235"/>
      <c r="H3" s="235"/>
      <c r="I3" s="235"/>
      <c r="J3" s="235"/>
      <c r="K3" s="236"/>
    </row>
    <row r="4" spans="1:11" ht="15.75" customHeight="1" x14ac:dyDescent="0.25">
      <c r="A4" s="237" t="s">
        <v>643</v>
      </c>
      <c r="B4" s="238"/>
      <c r="C4" s="238"/>
      <c r="D4" s="86"/>
      <c r="E4" s="86"/>
      <c r="F4" s="86"/>
      <c r="G4" s="86"/>
      <c r="H4" s="243" t="s">
        <v>1087</v>
      </c>
      <c r="I4" s="243"/>
      <c r="J4" s="243"/>
      <c r="K4" s="244"/>
    </row>
    <row r="5" spans="1:11" ht="45" x14ac:dyDescent="0.25">
      <c r="A5" s="152" t="s">
        <v>0</v>
      </c>
      <c r="B5" s="153" t="s">
        <v>1</v>
      </c>
      <c r="C5" s="153" t="s">
        <v>2</v>
      </c>
      <c r="D5" s="153" t="s">
        <v>3</v>
      </c>
      <c r="E5" s="153" t="s">
        <v>4</v>
      </c>
      <c r="F5" s="153" t="s">
        <v>147</v>
      </c>
      <c r="G5" s="153" t="s">
        <v>9</v>
      </c>
      <c r="H5" s="153" t="s">
        <v>6</v>
      </c>
      <c r="I5" s="153" t="s">
        <v>7</v>
      </c>
      <c r="J5" s="159" t="s">
        <v>8</v>
      </c>
      <c r="K5" s="159" t="s">
        <v>10</v>
      </c>
    </row>
    <row r="6" spans="1:11" ht="36" x14ac:dyDescent="0.25">
      <c r="A6" s="95">
        <v>1</v>
      </c>
      <c r="B6" s="95" t="s">
        <v>644</v>
      </c>
      <c r="C6" s="108" t="s">
        <v>607</v>
      </c>
      <c r="D6" s="95">
        <v>1</v>
      </c>
      <c r="E6" s="95" t="s">
        <v>11</v>
      </c>
      <c r="F6" s="96">
        <v>20000000</v>
      </c>
      <c r="G6" s="96">
        <f>D6*F6</f>
        <v>20000000</v>
      </c>
      <c r="H6" s="95" t="s">
        <v>535</v>
      </c>
      <c r="I6" s="95" t="s">
        <v>536</v>
      </c>
      <c r="J6" s="95" t="s">
        <v>40</v>
      </c>
      <c r="K6" s="95" t="s">
        <v>647</v>
      </c>
    </row>
    <row r="7" spans="1:11" ht="36" x14ac:dyDescent="0.25">
      <c r="A7" s="39">
        <v>2</v>
      </c>
      <c r="B7" s="36" t="s">
        <v>718</v>
      </c>
      <c r="C7" s="28" t="s">
        <v>607</v>
      </c>
      <c r="D7" s="28">
        <v>1</v>
      </c>
      <c r="E7" s="28" t="s">
        <v>11</v>
      </c>
      <c r="F7" s="46">
        <v>15000000</v>
      </c>
      <c r="G7" s="46">
        <f>D7*F7</f>
        <v>15000000</v>
      </c>
      <c r="H7" s="28" t="s">
        <v>535</v>
      </c>
      <c r="I7" s="28" t="s">
        <v>536</v>
      </c>
      <c r="J7" s="28" t="s">
        <v>40</v>
      </c>
      <c r="K7" s="36" t="s">
        <v>597</v>
      </c>
    </row>
    <row r="8" spans="1:11" x14ac:dyDescent="0.25">
      <c r="A8" s="10"/>
      <c r="B8" s="10"/>
      <c r="C8" s="10"/>
      <c r="D8" s="10"/>
      <c r="E8" s="10"/>
      <c r="F8" s="10"/>
      <c r="G8" s="10"/>
      <c r="H8" s="10"/>
      <c r="I8" s="10"/>
      <c r="J8" s="10"/>
      <c r="K8" s="10"/>
    </row>
    <row r="9" spans="1:11" x14ac:dyDescent="0.25">
      <c r="A9" s="10"/>
      <c r="B9" s="10"/>
      <c r="C9" s="10"/>
      <c r="D9" s="10"/>
      <c r="E9" s="10"/>
      <c r="F9" s="10"/>
      <c r="G9" s="10"/>
      <c r="H9" s="10"/>
      <c r="I9" s="10"/>
      <c r="J9" s="10"/>
      <c r="K9" s="10"/>
    </row>
  </sheetData>
  <mergeCells count="3">
    <mergeCell ref="A3:K3"/>
    <mergeCell ref="A4:C4"/>
    <mergeCell ref="H4:K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H3" sqref="H3:K3"/>
    </sheetView>
  </sheetViews>
  <sheetFormatPr baseColWidth="10" defaultRowHeight="15" x14ac:dyDescent="0.25"/>
  <cols>
    <col min="1" max="1" width="7.28515625" customWidth="1"/>
    <col min="2" max="2" width="27" customWidth="1"/>
    <col min="3" max="3" width="18" customWidth="1"/>
    <col min="4" max="4" width="6.85546875" customWidth="1"/>
    <col min="5" max="5" width="7.5703125" customWidth="1"/>
    <col min="9" max="9" width="8.140625" customWidth="1"/>
    <col min="10" max="10" width="9.42578125" customWidth="1"/>
  </cols>
  <sheetData>
    <row r="1" spans="1:11" x14ac:dyDescent="0.25">
      <c r="A1" s="10"/>
      <c r="B1" s="10"/>
      <c r="C1" s="10"/>
      <c r="D1" s="10"/>
      <c r="E1" s="10"/>
      <c r="F1" s="10"/>
      <c r="G1" s="10"/>
      <c r="H1" s="10"/>
      <c r="I1" s="10"/>
      <c r="J1" s="10"/>
      <c r="K1" s="10"/>
    </row>
    <row r="2" spans="1:11" ht="15.75" x14ac:dyDescent="0.25">
      <c r="A2" s="234" t="s">
        <v>739</v>
      </c>
      <c r="B2" s="235"/>
      <c r="C2" s="235"/>
      <c r="D2" s="235"/>
      <c r="E2" s="235"/>
      <c r="F2" s="235"/>
      <c r="G2" s="235"/>
      <c r="H2" s="235"/>
      <c r="I2" s="235"/>
      <c r="J2" s="235"/>
      <c r="K2" s="236"/>
    </row>
    <row r="3" spans="1:11" ht="15.75" customHeight="1" x14ac:dyDescent="0.25">
      <c r="A3" s="237" t="s">
        <v>648</v>
      </c>
      <c r="B3" s="238"/>
      <c r="C3" s="238"/>
      <c r="D3" s="86"/>
      <c r="E3" s="86"/>
      <c r="F3" s="86"/>
      <c r="G3" s="86"/>
      <c r="H3" s="243" t="s">
        <v>1088</v>
      </c>
      <c r="I3" s="243"/>
      <c r="J3" s="243"/>
      <c r="K3" s="244"/>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36" x14ac:dyDescent="0.25">
      <c r="A5" s="39">
        <v>1</v>
      </c>
      <c r="B5" s="28" t="s">
        <v>926</v>
      </c>
      <c r="C5" s="28" t="s">
        <v>607</v>
      </c>
      <c r="D5" s="28">
        <v>1</v>
      </c>
      <c r="E5" s="28" t="s">
        <v>11</v>
      </c>
      <c r="F5" s="46">
        <v>300000000</v>
      </c>
      <c r="G5" s="46">
        <f>D5*F5</f>
        <v>300000000</v>
      </c>
      <c r="H5" s="28" t="s">
        <v>649</v>
      </c>
      <c r="I5" s="28" t="s">
        <v>536</v>
      </c>
      <c r="J5" s="28" t="s">
        <v>40</v>
      </c>
      <c r="K5" s="28" t="s">
        <v>597</v>
      </c>
    </row>
    <row r="6" spans="1:11" x14ac:dyDescent="0.25">
      <c r="A6" s="10"/>
      <c r="B6" s="10"/>
      <c r="C6" s="10"/>
      <c r="D6" s="10"/>
      <c r="E6" s="10"/>
      <c r="F6" s="10"/>
      <c r="G6" s="10"/>
      <c r="H6" s="10"/>
      <c r="I6" s="10"/>
      <c r="J6" s="10"/>
      <c r="K6" s="10"/>
    </row>
  </sheetData>
  <mergeCells count="3">
    <mergeCell ref="A2:K2"/>
    <mergeCell ref="A3:C3"/>
    <mergeCell ref="H3:K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H3" sqref="H3:K3"/>
    </sheetView>
  </sheetViews>
  <sheetFormatPr baseColWidth="10" defaultRowHeight="15" x14ac:dyDescent="0.25"/>
  <cols>
    <col min="1" max="1" width="7.28515625" customWidth="1"/>
    <col min="2" max="2" width="27" customWidth="1"/>
    <col min="3" max="3" width="18" customWidth="1"/>
    <col min="4" max="4" width="6.85546875" customWidth="1"/>
    <col min="5" max="5" width="7.5703125" customWidth="1"/>
    <col min="9" max="9" width="8.140625" customWidth="1"/>
    <col min="10" max="10" width="9.42578125" customWidth="1"/>
  </cols>
  <sheetData>
    <row r="1" spans="1:11" x14ac:dyDescent="0.25">
      <c r="A1" s="10"/>
      <c r="B1" s="10"/>
      <c r="C1" s="10"/>
      <c r="D1" s="10"/>
      <c r="E1" s="10"/>
      <c r="F1" s="10"/>
      <c r="G1" s="10"/>
      <c r="H1" s="10"/>
      <c r="I1" s="10"/>
      <c r="J1" s="10"/>
      <c r="K1" s="10"/>
    </row>
    <row r="2" spans="1:11" ht="20.25" customHeight="1" x14ac:dyDescent="0.25">
      <c r="A2" s="234" t="s">
        <v>740</v>
      </c>
      <c r="B2" s="235"/>
      <c r="C2" s="235"/>
      <c r="D2" s="235"/>
      <c r="E2" s="235"/>
      <c r="F2" s="235"/>
      <c r="G2" s="235"/>
      <c r="H2" s="235"/>
      <c r="I2" s="235"/>
      <c r="J2" s="235"/>
      <c r="K2" s="236"/>
    </row>
    <row r="3" spans="1:11" ht="15.75" customHeight="1" x14ac:dyDescent="0.25">
      <c r="A3" s="237" t="s">
        <v>650</v>
      </c>
      <c r="B3" s="238"/>
      <c r="C3" s="238"/>
      <c r="D3" s="86"/>
      <c r="E3" s="86"/>
      <c r="F3" s="86"/>
      <c r="G3" s="86"/>
      <c r="H3" s="243" t="s">
        <v>1081</v>
      </c>
      <c r="I3" s="243"/>
      <c r="J3" s="243"/>
      <c r="K3" s="244"/>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24" x14ac:dyDescent="0.25">
      <c r="A5" s="39">
        <v>1</v>
      </c>
      <c r="B5" s="28" t="s">
        <v>651</v>
      </c>
      <c r="C5" s="28" t="s">
        <v>607</v>
      </c>
      <c r="D5" s="28">
        <v>1</v>
      </c>
      <c r="E5" s="28" t="s">
        <v>11</v>
      </c>
      <c r="F5" s="46">
        <v>100000000</v>
      </c>
      <c r="G5" s="46">
        <f>D5*F5</f>
        <v>100000000</v>
      </c>
      <c r="H5" s="28" t="s">
        <v>649</v>
      </c>
      <c r="I5" s="28" t="s">
        <v>536</v>
      </c>
      <c r="J5" s="28" t="s">
        <v>40</v>
      </c>
      <c r="K5" s="28" t="s">
        <v>597</v>
      </c>
    </row>
  </sheetData>
  <mergeCells count="3">
    <mergeCell ref="A2:K2"/>
    <mergeCell ref="A3:C3"/>
    <mergeCell ref="H3:K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
  <sheetViews>
    <sheetView workbookViewId="0">
      <selection activeCell="K17" sqref="K17"/>
    </sheetView>
  </sheetViews>
  <sheetFormatPr baseColWidth="10" defaultRowHeight="15" x14ac:dyDescent="0.25"/>
  <cols>
    <col min="1" max="1" width="5.85546875" customWidth="1"/>
    <col min="2" max="2" width="19.85546875" customWidth="1"/>
    <col min="3" max="3" width="18.28515625" customWidth="1"/>
    <col min="4" max="4" width="6.85546875" customWidth="1"/>
    <col min="5" max="5" width="6.5703125" customWidth="1"/>
    <col min="6" max="6" width="10.5703125" customWidth="1"/>
    <col min="9" max="9" width="7.85546875" customWidth="1"/>
    <col min="10" max="10" width="9.7109375" customWidth="1"/>
    <col min="11" max="11" width="12.7109375" customWidth="1"/>
  </cols>
  <sheetData>
    <row r="2" spans="1:11" ht="15.75" x14ac:dyDescent="0.25">
      <c r="A2" s="245" t="s">
        <v>741</v>
      </c>
      <c r="B2" s="246"/>
      <c r="C2" s="246"/>
      <c r="D2" s="246"/>
      <c r="E2" s="246"/>
      <c r="F2" s="246"/>
      <c r="G2" s="246"/>
      <c r="H2" s="246"/>
      <c r="I2" s="246"/>
      <c r="J2" s="246"/>
      <c r="K2" s="247"/>
    </row>
    <row r="3" spans="1:11" ht="15.75" x14ac:dyDescent="0.25">
      <c r="A3" s="248" t="s">
        <v>687</v>
      </c>
      <c r="B3" s="248"/>
      <c r="C3" s="248"/>
      <c r="D3" s="64"/>
      <c r="E3" s="64"/>
      <c r="F3" s="64"/>
      <c r="G3" s="64"/>
      <c r="H3" s="227" t="s">
        <v>1089</v>
      </c>
      <c r="I3" s="228"/>
      <c r="J3" s="228"/>
      <c r="K3" s="229"/>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96" x14ac:dyDescent="0.25">
      <c r="A5" s="36">
        <v>1</v>
      </c>
      <c r="B5" s="36" t="s">
        <v>927</v>
      </c>
      <c r="C5" s="36" t="s">
        <v>652</v>
      </c>
      <c r="D5" s="36">
        <v>1</v>
      </c>
      <c r="E5" s="36" t="s">
        <v>11</v>
      </c>
      <c r="F5" s="45">
        <v>40000000</v>
      </c>
      <c r="G5" s="45">
        <f>D5*F5</f>
        <v>40000000</v>
      </c>
      <c r="H5" s="36" t="s">
        <v>535</v>
      </c>
      <c r="I5" s="36" t="s">
        <v>536</v>
      </c>
      <c r="J5" s="36" t="s">
        <v>40</v>
      </c>
      <c r="K5" s="36" t="s">
        <v>653</v>
      </c>
    </row>
  </sheetData>
  <mergeCells count="3">
    <mergeCell ref="A2:K2"/>
    <mergeCell ref="A3:C3"/>
    <mergeCell ref="H3:K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13" workbookViewId="0">
      <selection activeCell="N7" sqref="N7"/>
    </sheetView>
  </sheetViews>
  <sheetFormatPr baseColWidth="10" defaultRowHeight="15" x14ac:dyDescent="0.25"/>
  <cols>
    <col min="1" max="1" width="5.5703125" customWidth="1"/>
    <col min="2" max="2" width="22.5703125" customWidth="1"/>
    <col min="3" max="3" width="16" customWidth="1"/>
    <col min="4" max="4" width="6.42578125" customWidth="1"/>
    <col min="5" max="5" width="6.85546875" customWidth="1"/>
    <col min="6" max="6" width="13.28515625" customWidth="1"/>
    <col min="7" max="7" width="11.85546875" customWidth="1"/>
    <col min="11" max="11" width="15.7109375" customWidth="1"/>
  </cols>
  <sheetData>
    <row r="2" spans="1:11" ht="21.75" customHeight="1" x14ac:dyDescent="0.25">
      <c r="A2" s="245" t="s">
        <v>742</v>
      </c>
      <c r="B2" s="246"/>
      <c r="C2" s="246"/>
      <c r="D2" s="246"/>
      <c r="E2" s="246"/>
      <c r="F2" s="246"/>
      <c r="G2" s="246"/>
      <c r="H2" s="246"/>
      <c r="I2" s="246"/>
      <c r="J2" s="246"/>
      <c r="K2" s="247"/>
    </row>
    <row r="3" spans="1:11" ht="21" customHeight="1" x14ac:dyDescent="0.25">
      <c r="A3" s="248" t="s">
        <v>537</v>
      </c>
      <c r="B3" s="248"/>
      <c r="C3" s="248"/>
      <c r="D3" s="64"/>
      <c r="E3" s="64"/>
      <c r="F3" s="64"/>
      <c r="G3" s="64"/>
      <c r="H3" s="64"/>
      <c r="I3" s="248" t="s">
        <v>1090</v>
      </c>
      <c r="J3" s="248"/>
      <c r="K3" s="248"/>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120" x14ac:dyDescent="0.25">
      <c r="A5" s="28">
        <v>1</v>
      </c>
      <c r="B5" s="28" t="s">
        <v>928</v>
      </c>
      <c r="C5" s="28" t="s">
        <v>662</v>
      </c>
      <c r="D5" s="28">
        <v>1</v>
      </c>
      <c r="E5" s="28" t="s">
        <v>11</v>
      </c>
      <c r="F5" s="46">
        <v>12000000</v>
      </c>
      <c r="G5" s="67">
        <f>D5*F5</f>
        <v>12000000</v>
      </c>
      <c r="H5" s="28" t="s">
        <v>128</v>
      </c>
      <c r="I5" s="36" t="s">
        <v>654</v>
      </c>
      <c r="J5" s="28" t="s">
        <v>40</v>
      </c>
      <c r="K5" s="36" t="s">
        <v>655</v>
      </c>
    </row>
    <row r="6" spans="1:11" ht="48" x14ac:dyDescent="0.25">
      <c r="A6" s="28">
        <v>2</v>
      </c>
      <c r="B6" s="28" t="s">
        <v>656</v>
      </c>
      <c r="C6" s="28" t="s">
        <v>662</v>
      </c>
      <c r="D6" s="28">
        <v>1</v>
      </c>
      <c r="E6" s="28" t="s">
        <v>11</v>
      </c>
      <c r="F6" s="46">
        <v>3500000</v>
      </c>
      <c r="G6" s="67">
        <f t="shared" ref="G6:G16" si="0">D6*F6</f>
        <v>3500000</v>
      </c>
      <c r="H6" s="28" t="s">
        <v>128</v>
      </c>
      <c r="I6" s="36" t="s">
        <v>654</v>
      </c>
      <c r="J6" s="28" t="s">
        <v>40</v>
      </c>
      <c r="K6" s="36" t="s">
        <v>655</v>
      </c>
    </row>
    <row r="7" spans="1:11" ht="72" x14ac:dyDescent="0.25">
      <c r="A7" s="28">
        <v>3</v>
      </c>
      <c r="B7" s="28" t="s">
        <v>657</v>
      </c>
      <c r="C7" s="28" t="s">
        <v>662</v>
      </c>
      <c r="D7" s="28">
        <v>1</v>
      </c>
      <c r="E7" s="28" t="s">
        <v>11</v>
      </c>
      <c r="F7" s="46">
        <v>32500000</v>
      </c>
      <c r="G7" s="67">
        <f t="shared" si="0"/>
        <v>32500000</v>
      </c>
      <c r="H7" s="28" t="s">
        <v>611</v>
      </c>
      <c r="I7" s="36" t="s">
        <v>654</v>
      </c>
      <c r="J7" s="28" t="s">
        <v>40</v>
      </c>
      <c r="K7" s="36" t="s">
        <v>655</v>
      </c>
    </row>
    <row r="8" spans="1:11" ht="60" x14ac:dyDescent="0.25">
      <c r="A8" s="28">
        <v>4</v>
      </c>
      <c r="B8" s="28" t="s">
        <v>660</v>
      </c>
      <c r="C8" s="28" t="s">
        <v>662</v>
      </c>
      <c r="D8" s="28">
        <v>1</v>
      </c>
      <c r="E8" s="28" t="s">
        <v>11</v>
      </c>
      <c r="F8" s="46">
        <v>19000000</v>
      </c>
      <c r="G8" s="67">
        <f t="shared" si="0"/>
        <v>19000000</v>
      </c>
      <c r="H8" s="28" t="s">
        <v>611</v>
      </c>
      <c r="I8" s="36" t="s">
        <v>654</v>
      </c>
      <c r="J8" s="28" t="s">
        <v>40</v>
      </c>
      <c r="K8" s="36" t="s">
        <v>655</v>
      </c>
    </row>
    <row r="9" spans="1:11" ht="72" x14ac:dyDescent="0.25">
      <c r="A9" s="28">
        <v>5</v>
      </c>
      <c r="B9" s="28" t="s">
        <v>658</v>
      </c>
      <c r="C9" s="28" t="s">
        <v>662</v>
      </c>
      <c r="D9" s="28">
        <v>1</v>
      </c>
      <c r="E9" s="28" t="s">
        <v>11</v>
      </c>
      <c r="F9" s="46">
        <v>6450000</v>
      </c>
      <c r="G9" s="67">
        <f t="shared" si="0"/>
        <v>6450000</v>
      </c>
      <c r="H9" s="28" t="s">
        <v>611</v>
      </c>
      <c r="I9" s="36" t="s">
        <v>654</v>
      </c>
      <c r="J9" s="28" t="s">
        <v>40</v>
      </c>
      <c r="K9" s="36" t="s">
        <v>655</v>
      </c>
    </row>
    <row r="10" spans="1:11" ht="84" x14ac:dyDescent="0.25">
      <c r="A10" s="28">
        <v>6</v>
      </c>
      <c r="B10" s="28" t="s">
        <v>659</v>
      </c>
      <c r="C10" s="28" t="s">
        <v>662</v>
      </c>
      <c r="D10" s="28">
        <v>1</v>
      </c>
      <c r="E10" s="28" t="s">
        <v>11</v>
      </c>
      <c r="F10" s="46">
        <v>18029500</v>
      </c>
      <c r="G10" s="67">
        <f t="shared" si="0"/>
        <v>18029500</v>
      </c>
      <c r="H10" s="28" t="s">
        <v>611</v>
      </c>
      <c r="I10" s="36" t="s">
        <v>654</v>
      </c>
      <c r="J10" s="28" t="s">
        <v>40</v>
      </c>
      <c r="K10" s="36" t="s">
        <v>655</v>
      </c>
    </row>
    <row r="11" spans="1:11" ht="96" x14ac:dyDescent="0.25">
      <c r="A11" s="28">
        <v>7</v>
      </c>
      <c r="B11" s="28" t="s">
        <v>661</v>
      </c>
      <c r="C11" s="28" t="s">
        <v>662</v>
      </c>
      <c r="D11" s="28">
        <v>1</v>
      </c>
      <c r="E11" s="28" t="s">
        <v>11</v>
      </c>
      <c r="F11" s="46">
        <f>12000000*4.5%+12000000</f>
        <v>12540000</v>
      </c>
      <c r="G11" s="67">
        <f t="shared" si="0"/>
        <v>12540000</v>
      </c>
      <c r="H11" s="28" t="s">
        <v>611</v>
      </c>
      <c r="I11" s="36" t="s">
        <v>654</v>
      </c>
      <c r="J11" s="28" t="s">
        <v>40</v>
      </c>
      <c r="K11" s="36" t="s">
        <v>655</v>
      </c>
    </row>
    <row r="12" spans="1:11" ht="72" x14ac:dyDescent="0.25">
      <c r="A12" s="39">
        <v>8</v>
      </c>
      <c r="B12" s="28" t="s">
        <v>663</v>
      </c>
      <c r="C12" s="28" t="s">
        <v>662</v>
      </c>
      <c r="D12" s="28">
        <v>1</v>
      </c>
      <c r="E12" s="28" t="s">
        <v>11</v>
      </c>
      <c r="F12" s="46">
        <v>12630000</v>
      </c>
      <c r="G12" s="67">
        <f t="shared" si="0"/>
        <v>12630000</v>
      </c>
      <c r="H12" s="28" t="s">
        <v>611</v>
      </c>
      <c r="I12" s="36" t="s">
        <v>654</v>
      </c>
      <c r="J12" s="28" t="s">
        <v>40</v>
      </c>
      <c r="K12" s="36" t="s">
        <v>655</v>
      </c>
    </row>
    <row r="13" spans="1:11" ht="120" x14ac:dyDescent="0.25">
      <c r="A13" s="39">
        <v>9</v>
      </c>
      <c r="B13" s="28" t="s">
        <v>666</v>
      </c>
      <c r="C13" s="28" t="s">
        <v>662</v>
      </c>
      <c r="D13" s="28">
        <v>1</v>
      </c>
      <c r="E13" s="28" t="s">
        <v>11</v>
      </c>
      <c r="F13" s="46">
        <v>15675000</v>
      </c>
      <c r="G13" s="67">
        <f t="shared" si="0"/>
        <v>15675000</v>
      </c>
      <c r="H13" s="28" t="s">
        <v>611</v>
      </c>
      <c r="I13" s="36" t="s">
        <v>654</v>
      </c>
      <c r="J13" s="28" t="s">
        <v>40</v>
      </c>
      <c r="K13" s="36" t="s">
        <v>655</v>
      </c>
    </row>
    <row r="14" spans="1:11" ht="72" x14ac:dyDescent="0.25">
      <c r="A14" s="39">
        <v>10</v>
      </c>
      <c r="B14" s="28" t="s">
        <v>664</v>
      </c>
      <c r="C14" s="28" t="s">
        <v>662</v>
      </c>
      <c r="D14" s="28">
        <v>1</v>
      </c>
      <c r="E14" s="28" t="s">
        <v>11</v>
      </c>
      <c r="F14" s="97">
        <v>9450000</v>
      </c>
      <c r="G14" s="67">
        <f t="shared" si="0"/>
        <v>9450000</v>
      </c>
      <c r="H14" s="28" t="s">
        <v>611</v>
      </c>
      <c r="I14" s="36" t="s">
        <v>654</v>
      </c>
      <c r="J14" s="28" t="s">
        <v>40</v>
      </c>
      <c r="K14" s="36" t="s">
        <v>655</v>
      </c>
    </row>
    <row r="15" spans="1:11" ht="48" x14ac:dyDescent="0.25">
      <c r="A15" s="39">
        <v>11</v>
      </c>
      <c r="B15" s="28" t="s">
        <v>665</v>
      </c>
      <c r="C15" s="28" t="s">
        <v>662</v>
      </c>
      <c r="D15" s="28">
        <v>1</v>
      </c>
      <c r="E15" s="28" t="s">
        <v>11</v>
      </c>
      <c r="F15" s="97">
        <v>5613000</v>
      </c>
      <c r="G15" s="67">
        <f t="shared" si="0"/>
        <v>5613000</v>
      </c>
      <c r="H15" s="28" t="s">
        <v>611</v>
      </c>
      <c r="I15" s="36" t="s">
        <v>654</v>
      </c>
      <c r="J15" s="28" t="s">
        <v>40</v>
      </c>
      <c r="K15" s="36" t="s">
        <v>655</v>
      </c>
    </row>
    <row r="16" spans="1:11" ht="60" x14ac:dyDescent="0.25">
      <c r="A16" s="39">
        <v>12</v>
      </c>
      <c r="B16" s="36" t="s">
        <v>667</v>
      </c>
      <c r="C16" s="28" t="s">
        <v>668</v>
      </c>
      <c r="D16" s="28">
        <v>1</v>
      </c>
      <c r="E16" s="28" t="s">
        <v>11</v>
      </c>
      <c r="F16" s="97">
        <v>2612500</v>
      </c>
      <c r="G16" s="67">
        <f t="shared" si="0"/>
        <v>2612500</v>
      </c>
      <c r="H16" s="28" t="s">
        <v>611</v>
      </c>
      <c r="I16" s="36" t="s">
        <v>654</v>
      </c>
      <c r="J16" s="28" t="s">
        <v>40</v>
      </c>
      <c r="K16" s="36" t="s">
        <v>655</v>
      </c>
    </row>
    <row r="17" spans="1:11" x14ac:dyDescent="0.25">
      <c r="A17" s="10"/>
      <c r="B17" s="10"/>
      <c r="C17" s="10"/>
      <c r="D17" s="10"/>
      <c r="E17" s="10"/>
      <c r="F17" s="10"/>
      <c r="G17" s="109">
        <f>SUM(G5:G16)</f>
        <v>150000000</v>
      </c>
      <c r="H17" s="10"/>
      <c r="I17" s="10"/>
      <c r="J17" s="10"/>
      <c r="K17" s="10"/>
    </row>
    <row r="18" spans="1:11" x14ac:dyDescent="0.25">
      <c r="G18" s="124" t="s">
        <v>12</v>
      </c>
    </row>
    <row r="29" spans="1:11" x14ac:dyDescent="0.25">
      <c r="G29" s="10"/>
    </row>
  </sheetData>
  <mergeCells count="3">
    <mergeCell ref="A2:K2"/>
    <mergeCell ref="A3:C3"/>
    <mergeCell ref="I3:K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J5" sqref="J5"/>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1" spans="1:13" x14ac:dyDescent="0.25">
      <c r="A1" t="s">
        <v>12</v>
      </c>
    </row>
    <row r="2" spans="1:13" ht="15.75" x14ac:dyDescent="0.25">
      <c r="A2" s="245" t="s">
        <v>929</v>
      </c>
      <c r="B2" s="246"/>
      <c r="C2" s="246"/>
      <c r="D2" s="246"/>
      <c r="E2" s="246"/>
      <c r="F2" s="246"/>
      <c r="G2" s="246"/>
      <c r="H2" s="246"/>
      <c r="I2" s="246"/>
      <c r="J2" s="246"/>
      <c r="K2" s="247"/>
    </row>
    <row r="3" spans="1:13" ht="15.75" x14ac:dyDescent="0.25">
      <c r="A3" s="248" t="s">
        <v>672</v>
      </c>
      <c r="B3" s="248"/>
      <c r="C3" s="248"/>
      <c r="D3" s="64"/>
      <c r="E3" s="64"/>
      <c r="F3" s="64"/>
      <c r="G3" s="64"/>
      <c r="H3" s="64"/>
      <c r="I3" s="248" t="s">
        <v>1091</v>
      </c>
      <c r="J3" s="248"/>
      <c r="K3" s="248"/>
    </row>
    <row r="4" spans="1:13" ht="45" x14ac:dyDescent="0.25">
      <c r="A4" s="152" t="s">
        <v>0</v>
      </c>
      <c r="B4" s="153" t="s">
        <v>1</v>
      </c>
      <c r="C4" s="153" t="s">
        <v>2</v>
      </c>
      <c r="D4" s="153" t="s">
        <v>3</v>
      </c>
      <c r="E4" s="153" t="s">
        <v>4</v>
      </c>
      <c r="F4" s="153" t="s">
        <v>147</v>
      </c>
      <c r="G4" s="153" t="s">
        <v>9</v>
      </c>
      <c r="H4" s="153" t="s">
        <v>6</v>
      </c>
      <c r="I4" s="153" t="s">
        <v>7</v>
      </c>
      <c r="J4" s="159" t="s">
        <v>8</v>
      </c>
      <c r="K4" s="159" t="s">
        <v>10</v>
      </c>
    </row>
    <row r="5" spans="1:13" ht="60" x14ac:dyDescent="0.25">
      <c r="A5" s="102">
        <v>1</v>
      </c>
      <c r="B5" s="36" t="s">
        <v>688</v>
      </c>
      <c r="C5" s="36" t="s">
        <v>669</v>
      </c>
      <c r="D5" s="102">
        <v>1</v>
      </c>
      <c r="E5" s="102" t="s">
        <v>11</v>
      </c>
      <c r="F5" s="103">
        <f>1623028118-15900000+428270045-149000000</f>
        <v>1886398163</v>
      </c>
      <c r="G5" s="104">
        <f>D5*F5</f>
        <v>1886398163</v>
      </c>
      <c r="H5" s="36" t="s">
        <v>535</v>
      </c>
      <c r="I5" s="36" t="s">
        <v>670</v>
      </c>
      <c r="J5" s="36" t="s">
        <v>40</v>
      </c>
      <c r="K5" s="36" t="s">
        <v>671</v>
      </c>
      <c r="L5" t="s">
        <v>12</v>
      </c>
      <c r="M5" s="130" t="s">
        <v>12</v>
      </c>
    </row>
    <row r="6" spans="1:13" ht="60" x14ac:dyDescent="0.25">
      <c r="A6" s="102"/>
      <c r="B6" s="28" t="s">
        <v>689</v>
      </c>
      <c r="C6" s="36" t="s">
        <v>669</v>
      </c>
      <c r="D6" s="102">
        <v>1</v>
      </c>
      <c r="E6" s="102" t="s">
        <v>11</v>
      </c>
      <c r="F6" s="103">
        <f>1589292202-17690365+30000000</f>
        <v>1601601837</v>
      </c>
      <c r="G6" s="104">
        <f>D6*F6</f>
        <v>1601601837</v>
      </c>
      <c r="H6" s="36" t="s">
        <v>535</v>
      </c>
      <c r="I6" s="36" t="s">
        <v>670</v>
      </c>
      <c r="J6" s="36" t="s">
        <v>40</v>
      </c>
      <c r="K6" s="36" t="s">
        <v>671</v>
      </c>
      <c r="L6" t="s">
        <v>12</v>
      </c>
    </row>
    <row r="7" spans="1:13" x14ac:dyDescent="0.25">
      <c r="F7" s="32" t="s">
        <v>12</v>
      </c>
      <c r="G7" s="32">
        <f>SUM(G5:G6)</f>
        <v>3488000000</v>
      </c>
    </row>
  </sheetData>
  <mergeCells count="3">
    <mergeCell ref="A2:K2"/>
    <mergeCell ref="A3:C3"/>
    <mergeCell ref="I3:K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J6" sqref="J6"/>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1" max="11" width="10.5703125" customWidth="1"/>
    <col min="14" max="14" width="16.85546875" bestFit="1" customWidth="1"/>
  </cols>
  <sheetData>
    <row r="1" spans="1:12" x14ac:dyDescent="0.25">
      <c r="A1" t="s">
        <v>12</v>
      </c>
    </row>
    <row r="3" spans="1:12" ht="15.75" x14ac:dyDescent="0.25">
      <c r="A3" s="245" t="s">
        <v>930</v>
      </c>
      <c r="B3" s="246"/>
      <c r="C3" s="246"/>
      <c r="D3" s="246"/>
      <c r="E3" s="246"/>
      <c r="F3" s="246"/>
      <c r="G3" s="246"/>
      <c r="H3" s="246"/>
      <c r="I3" s="246"/>
      <c r="J3" s="246"/>
      <c r="K3" s="246"/>
      <c r="L3" s="247"/>
    </row>
    <row r="4" spans="1:12" ht="15.75" x14ac:dyDescent="0.25">
      <c r="A4" s="248" t="s">
        <v>673</v>
      </c>
      <c r="B4" s="248"/>
      <c r="C4" s="248"/>
      <c r="D4" s="64"/>
      <c r="E4" s="64"/>
      <c r="F4" s="64"/>
      <c r="G4" s="64"/>
      <c r="H4" s="64"/>
      <c r="I4" s="248" t="s">
        <v>1092</v>
      </c>
      <c r="J4" s="248"/>
      <c r="K4" s="248"/>
      <c r="L4" s="248"/>
    </row>
    <row r="5" spans="1:12" ht="45" x14ac:dyDescent="0.25">
      <c r="A5" s="152" t="s">
        <v>0</v>
      </c>
      <c r="B5" s="153" t="s">
        <v>1</v>
      </c>
      <c r="C5" s="153" t="s">
        <v>2</v>
      </c>
      <c r="D5" s="153" t="s">
        <v>3</v>
      </c>
      <c r="E5" s="153" t="s">
        <v>4</v>
      </c>
      <c r="F5" s="153" t="s">
        <v>147</v>
      </c>
      <c r="G5" s="153" t="s">
        <v>9</v>
      </c>
      <c r="H5" s="153" t="s">
        <v>6</v>
      </c>
      <c r="I5" s="153" t="s">
        <v>7</v>
      </c>
      <c r="J5" s="153" t="s">
        <v>604</v>
      </c>
      <c r="K5" s="159" t="s">
        <v>8</v>
      </c>
      <c r="L5" s="159" t="s">
        <v>10</v>
      </c>
    </row>
  </sheetData>
  <mergeCells count="3">
    <mergeCell ref="A3:L3"/>
    <mergeCell ref="A4:C4"/>
    <mergeCell ref="I4:L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H12" sqref="H12"/>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1" spans="1:11" x14ac:dyDescent="0.25">
      <c r="A1" t="s">
        <v>12</v>
      </c>
    </row>
    <row r="3" spans="1:11" ht="15.75" x14ac:dyDescent="0.25">
      <c r="A3" s="220" t="s">
        <v>743</v>
      </c>
      <c r="B3" s="249"/>
      <c r="C3" s="249"/>
      <c r="D3" s="249"/>
      <c r="E3" s="249"/>
      <c r="F3" s="249"/>
      <c r="G3" s="249"/>
      <c r="H3" s="249"/>
      <c r="I3" s="249"/>
      <c r="J3" s="249"/>
      <c r="K3" s="250"/>
    </row>
    <row r="4" spans="1:11" ht="15.75" x14ac:dyDescent="0.25">
      <c r="A4" s="227" t="s">
        <v>674</v>
      </c>
      <c r="B4" s="228"/>
      <c r="C4" s="229"/>
      <c r="D4" s="64"/>
      <c r="E4" s="64"/>
      <c r="F4" s="64"/>
      <c r="G4" s="64"/>
      <c r="H4" s="64"/>
      <c r="I4" s="227" t="s">
        <v>1093</v>
      </c>
      <c r="J4" s="228"/>
      <c r="K4" s="229"/>
    </row>
    <row r="5" spans="1:11" ht="45" x14ac:dyDescent="0.25">
      <c r="A5" s="152" t="s">
        <v>0</v>
      </c>
      <c r="B5" s="153" t="s">
        <v>1</v>
      </c>
      <c r="C5" s="153" t="s">
        <v>2</v>
      </c>
      <c r="D5" s="153" t="s">
        <v>3</v>
      </c>
      <c r="E5" s="153" t="s">
        <v>4</v>
      </c>
      <c r="F5" s="153" t="s">
        <v>147</v>
      </c>
      <c r="G5" s="153" t="s">
        <v>9</v>
      </c>
      <c r="H5" s="153" t="s">
        <v>6</v>
      </c>
      <c r="I5" s="153" t="s">
        <v>7</v>
      </c>
      <c r="J5" s="159" t="s">
        <v>8</v>
      </c>
      <c r="K5" s="159" t="s">
        <v>10</v>
      </c>
    </row>
    <row r="6" spans="1:11" ht="48" x14ac:dyDescent="0.25">
      <c r="A6" s="36">
        <v>1</v>
      </c>
      <c r="B6" s="36" t="s">
        <v>675</v>
      </c>
      <c r="C6" s="36" t="s">
        <v>676</v>
      </c>
      <c r="D6" s="36">
        <v>1</v>
      </c>
      <c r="E6" s="36" t="s">
        <v>11</v>
      </c>
      <c r="F6" s="45">
        <v>577500000</v>
      </c>
      <c r="G6" s="45">
        <f>D6*F6</f>
        <v>577500000</v>
      </c>
      <c r="H6" s="36" t="s">
        <v>611</v>
      </c>
      <c r="I6" s="36" t="s">
        <v>670</v>
      </c>
      <c r="J6" s="36" t="s">
        <v>40</v>
      </c>
      <c r="K6" s="36" t="s">
        <v>646</v>
      </c>
    </row>
  </sheetData>
  <mergeCells count="3">
    <mergeCell ref="A3:K3"/>
    <mergeCell ref="A4:C4"/>
    <mergeCell ref="I4:K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
  <sheetViews>
    <sheetView workbookViewId="0">
      <selection activeCell="I17" sqref="I17:I18"/>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2" spans="1:11" ht="15.75" x14ac:dyDescent="0.25">
      <c r="A2" s="220" t="s">
        <v>751</v>
      </c>
      <c r="B2" s="249"/>
      <c r="C2" s="249"/>
      <c r="D2" s="249"/>
      <c r="E2" s="249"/>
      <c r="F2" s="249"/>
      <c r="G2" s="249"/>
      <c r="H2" s="249"/>
      <c r="I2" s="249"/>
      <c r="J2" s="249"/>
      <c r="K2" s="250"/>
    </row>
    <row r="3" spans="1:11" ht="15.75" x14ac:dyDescent="0.25">
      <c r="A3" s="227" t="s">
        <v>677</v>
      </c>
      <c r="B3" s="228"/>
      <c r="C3" s="229"/>
      <c r="D3" s="64"/>
      <c r="E3" s="64"/>
      <c r="F3" s="64"/>
      <c r="G3" s="64"/>
      <c r="H3" s="227" t="s">
        <v>1094</v>
      </c>
      <c r="I3" s="228"/>
      <c r="J3" s="228"/>
      <c r="K3" s="229"/>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60" x14ac:dyDescent="0.25">
      <c r="A5" s="36">
        <v>1</v>
      </c>
      <c r="B5" s="36" t="s">
        <v>678</v>
      </c>
      <c r="C5" s="36" t="s">
        <v>607</v>
      </c>
      <c r="D5" s="36">
        <v>1</v>
      </c>
      <c r="E5" s="36" t="s">
        <v>11</v>
      </c>
      <c r="F5" s="45">
        <v>72589073</v>
      </c>
      <c r="G5" s="45">
        <f>D5*F5</f>
        <v>72589073</v>
      </c>
      <c r="H5" s="36" t="s">
        <v>611</v>
      </c>
      <c r="I5" s="36" t="s">
        <v>536</v>
      </c>
      <c r="J5" s="36" t="s">
        <v>40</v>
      </c>
      <c r="K5" s="36" t="s">
        <v>646</v>
      </c>
    </row>
  </sheetData>
  <mergeCells count="3">
    <mergeCell ref="A2:K2"/>
    <mergeCell ref="A3:C3"/>
    <mergeCell ref="H3:K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
  <sheetViews>
    <sheetView workbookViewId="0">
      <selection activeCell="I15" sqref="I15"/>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2" spans="1:11" ht="15.75" x14ac:dyDescent="0.25">
      <c r="A2" s="220" t="s">
        <v>744</v>
      </c>
      <c r="B2" s="249"/>
      <c r="C2" s="249"/>
      <c r="D2" s="249"/>
      <c r="E2" s="249"/>
      <c r="F2" s="249"/>
      <c r="G2" s="249"/>
      <c r="H2" s="249"/>
      <c r="I2" s="249"/>
      <c r="J2" s="249"/>
      <c r="K2" s="250"/>
    </row>
    <row r="3" spans="1:11" ht="15.75" x14ac:dyDescent="0.25">
      <c r="A3" s="227" t="s">
        <v>680</v>
      </c>
      <c r="B3" s="228"/>
      <c r="C3" s="229"/>
      <c r="D3" s="64"/>
      <c r="E3" s="64"/>
      <c r="F3" s="64"/>
      <c r="G3" s="64"/>
      <c r="H3" s="227" t="s">
        <v>1095</v>
      </c>
      <c r="I3" s="228"/>
      <c r="J3" s="228"/>
      <c r="K3" s="229"/>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60" x14ac:dyDescent="0.25">
      <c r="A5" s="36">
        <v>1</v>
      </c>
      <c r="B5" s="36" t="s">
        <v>679</v>
      </c>
      <c r="C5" s="36" t="s">
        <v>607</v>
      </c>
      <c r="D5" s="36">
        <v>1</v>
      </c>
      <c r="E5" s="36" t="s">
        <v>11</v>
      </c>
      <c r="F5" s="45">
        <v>69147052</v>
      </c>
      <c r="G5" s="45">
        <f>D5*F5</f>
        <v>69147052</v>
      </c>
      <c r="H5" s="36" t="s">
        <v>611</v>
      </c>
      <c r="I5" s="36" t="s">
        <v>536</v>
      </c>
      <c r="J5" s="36" t="s">
        <v>40</v>
      </c>
      <c r="K5" s="36" t="s">
        <v>646</v>
      </c>
    </row>
  </sheetData>
  <mergeCells count="3">
    <mergeCell ref="A2:K2"/>
    <mergeCell ref="A3:C3"/>
    <mergeCell ref="H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A7" sqref="A7"/>
    </sheetView>
  </sheetViews>
  <sheetFormatPr baseColWidth="10" defaultRowHeight="15" x14ac:dyDescent="0.25"/>
  <cols>
    <col min="1" max="1" width="5.7109375" customWidth="1"/>
    <col min="2" max="2" width="18.140625" customWidth="1"/>
    <col min="3" max="3" width="32.42578125" customWidth="1"/>
    <col min="4" max="4" width="7" customWidth="1"/>
    <col min="5" max="5" width="7.7109375" customWidth="1"/>
    <col min="6" max="6" width="9.7109375" customWidth="1"/>
    <col min="7" max="7" width="15.28515625" customWidth="1"/>
    <col min="8" max="8" width="9.42578125" customWidth="1"/>
    <col min="9" max="9" width="10.140625" customWidth="1"/>
    <col min="10" max="10" width="21.85546875" customWidth="1"/>
  </cols>
  <sheetData>
    <row r="1" spans="1:10" ht="15.75" x14ac:dyDescent="0.25">
      <c r="A1" s="187" t="s">
        <v>721</v>
      </c>
      <c r="B1" s="189"/>
      <c r="C1" s="189"/>
      <c r="D1" s="189"/>
      <c r="E1" s="189"/>
      <c r="F1" s="189"/>
      <c r="G1" s="189"/>
      <c r="H1" s="189"/>
      <c r="I1" s="189"/>
      <c r="J1" s="189"/>
    </row>
    <row r="2" spans="1:10" x14ac:dyDescent="0.25">
      <c r="A2" s="196" t="s">
        <v>940</v>
      </c>
      <c r="B2" s="190"/>
      <c r="C2" s="190"/>
      <c r="D2" s="43"/>
      <c r="E2" s="44"/>
      <c r="F2" s="44"/>
      <c r="G2" s="44"/>
      <c r="H2" s="44"/>
      <c r="I2" s="195" t="s">
        <v>1105</v>
      </c>
      <c r="J2" s="195"/>
    </row>
    <row r="3" spans="1:10" ht="48.75" customHeight="1" x14ac:dyDescent="0.25">
      <c r="A3" s="152" t="s">
        <v>0</v>
      </c>
      <c r="B3" s="153" t="s">
        <v>753</v>
      </c>
      <c r="C3" s="153" t="s">
        <v>2</v>
      </c>
      <c r="D3" s="153" t="s">
        <v>4</v>
      </c>
      <c r="E3" s="153" t="s">
        <v>621</v>
      </c>
      <c r="F3" s="153" t="s">
        <v>5</v>
      </c>
      <c r="G3" s="153" t="s">
        <v>1102</v>
      </c>
      <c r="H3" s="153" t="s">
        <v>6</v>
      </c>
      <c r="I3" s="153" t="s">
        <v>8</v>
      </c>
      <c r="J3" s="153" t="s">
        <v>601</v>
      </c>
    </row>
    <row r="4" spans="1:10" ht="84" x14ac:dyDescent="0.25">
      <c r="A4" s="2">
        <v>1</v>
      </c>
      <c r="B4" s="126" t="s">
        <v>754</v>
      </c>
      <c r="C4" s="6" t="s">
        <v>707</v>
      </c>
      <c r="D4" s="6" t="s">
        <v>11</v>
      </c>
      <c r="E4" s="51">
        <v>3</v>
      </c>
      <c r="F4" s="52">
        <f>3850000*4.5%+3850000-56798</f>
        <v>3966452</v>
      </c>
      <c r="G4" s="52">
        <f t="shared" ref="G4:G6" si="0">E4*F4</f>
        <v>11899356</v>
      </c>
      <c r="H4" s="4" t="s">
        <v>535</v>
      </c>
      <c r="I4" s="4" t="s">
        <v>40</v>
      </c>
      <c r="J4" s="55" t="s">
        <v>755</v>
      </c>
    </row>
    <row r="5" spans="1:10" ht="48" x14ac:dyDescent="0.25">
      <c r="A5" s="29">
        <v>2</v>
      </c>
      <c r="B5" s="126" t="s">
        <v>931</v>
      </c>
      <c r="C5" s="3" t="s">
        <v>756</v>
      </c>
      <c r="D5" s="6" t="s">
        <v>11</v>
      </c>
      <c r="E5" s="31">
        <v>1</v>
      </c>
      <c r="F5" s="54">
        <v>4580000</v>
      </c>
      <c r="G5" s="52">
        <f t="shared" si="0"/>
        <v>4580000</v>
      </c>
      <c r="H5" s="4" t="s">
        <v>535</v>
      </c>
      <c r="I5" s="30" t="s">
        <v>40</v>
      </c>
      <c r="J5" s="28" t="s">
        <v>614</v>
      </c>
    </row>
    <row r="6" spans="1:10" ht="36" x14ac:dyDescent="0.25">
      <c r="A6" s="53">
        <v>3</v>
      </c>
      <c r="B6" s="117" t="s">
        <v>757</v>
      </c>
      <c r="C6" s="3" t="s">
        <v>758</v>
      </c>
      <c r="D6" s="6" t="s">
        <v>11</v>
      </c>
      <c r="E6" s="31">
        <v>1</v>
      </c>
      <c r="F6" s="54">
        <f>4219000+1644</f>
        <v>4220644</v>
      </c>
      <c r="G6" s="52">
        <f t="shared" si="0"/>
        <v>4220644</v>
      </c>
      <c r="H6" s="4" t="s">
        <v>535</v>
      </c>
      <c r="I6" s="30" t="s">
        <v>40</v>
      </c>
      <c r="J6" s="28" t="s">
        <v>759</v>
      </c>
    </row>
    <row r="7" spans="1:10" x14ac:dyDescent="0.25">
      <c r="A7" s="1"/>
      <c r="B7" s="1" t="s">
        <v>603</v>
      </c>
      <c r="C7" s="1"/>
      <c r="D7" s="1"/>
      <c r="E7" s="112"/>
      <c r="F7" s="1"/>
      <c r="G7" s="113">
        <f>SUM(G4:G6)</f>
        <v>20700000</v>
      </c>
      <c r="H7" s="1"/>
      <c r="I7" s="1"/>
      <c r="J7" s="1"/>
    </row>
    <row r="9" spans="1:10" x14ac:dyDescent="0.25">
      <c r="G9" t="s">
        <v>12</v>
      </c>
    </row>
  </sheetData>
  <mergeCells count="3">
    <mergeCell ref="A1:J1"/>
    <mergeCell ref="I2:J2"/>
    <mergeCell ref="A2:C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
  <sheetViews>
    <sheetView workbookViewId="0">
      <selection activeCell="J6" sqref="J6"/>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3" spans="1:11" ht="15.75" x14ac:dyDescent="0.25">
      <c r="A3" s="220" t="s">
        <v>745</v>
      </c>
      <c r="B3" s="249"/>
      <c r="C3" s="249"/>
      <c r="D3" s="249"/>
      <c r="E3" s="249"/>
      <c r="F3" s="249"/>
      <c r="G3" s="249"/>
      <c r="H3" s="249"/>
      <c r="I3" s="249"/>
      <c r="J3" s="249"/>
      <c r="K3" s="250"/>
    </row>
    <row r="4" spans="1:11" ht="15.75" x14ac:dyDescent="0.25">
      <c r="A4" s="227" t="s">
        <v>681</v>
      </c>
      <c r="B4" s="228"/>
      <c r="C4" s="229"/>
      <c r="D4" s="64"/>
      <c r="E4" s="64"/>
      <c r="F4" s="64"/>
      <c r="G4" s="64"/>
      <c r="H4" s="64"/>
      <c r="I4" s="227" t="s">
        <v>1096</v>
      </c>
      <c r="J4" s="228"/>
      <c r="K4" s="229"/>
    </row>
    <row r="5" spans="1:11" ht="45" x14ac:dyDescent="0.25">
      <c r="A5" s="152" t="s">
        <v>0</v>
      </c>
      <c r="B5" s="153" t="s">
        <v>1</v>
      </c>
      <c r="C5" s="153" t="s">
        <v>2</v>
      </c>
      <c r="D5" s="153" t="s">
        <v>3</v>
      </c>
      <c r="E5" s="153" t="s">
        <v>4</v>
      </c>
      <c r="F5" s="153" t="s">
        <v>147</v>
      </c>
      <c r="G5" s="153" t="s">
        <v>9</v>
      </c>
      <c r="H5" s="153" t="s">
        <v>6</v>
      </c>
      <c r="I5" s="153" t="s">
        <v>7</v>
      </c>
      <c r="J5" s="159" t="s">
        <v>8</v>
      </c>
      <c r="K5" s="159" t="s">
        <v>10</v>
      </c>
    </row>
    <row r="6" spans="1:11" ht="60" x14ac:dyDescent="0.25">
      <c r="A6" s="36">
        <v>1</v>
      </c>
      <c r="B6" s="36" t="s">
        <v>679</v>
      </c>
      <c r="C6" s="36" t="s">
        <v>607</v>
      </c>
      <c r="D6" s="36">
        <v>1</v>
      </c>
      <c r="E6" s="36" t="s">
        <v>11</v>
      </c>
      <c r="F6" s="45">
        <v>70000000</v>
      </c>
      <c r="G6" s="45">
        <f>D6*F6</f>
        <v>70000000</v>
      </c>
      <c r="H6" s="36" t="s">
        <v>611</v>
      </c>
      <c r="I6" s="36" t="s">
        <v>536</v>
      </c>
      <c r="J6" s="36" t="s">
        <v>40</v>
      </c>
      <c r="K6" s="36" t="s">
        <v>646</v>
      </c>
    </row>
  </sheetData>
  <mergeCells count="3">
    <mergeCell ref="A3:K3"/>
    <mergeCell ref="A4:C4"/>
    <mergeCell ref="I4:K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
  <sheetViews>
    <sheetView workbookViewId="0">
      <selection activeCell="J6" sqref="J6"/>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3" spans="1:11" ht="15.75" x14ac:dyDescent="0.25">
      <c r="A3" s="220" t="s">
        <v>746</v>
      </c>
      <c r="B3" s="249"/>
      <c r="C3" s="249"/>
      <c r="D3" s="249"/>
      <c r="E3" s="249"/>
      <c r="F3" s="249"/>
      <c r="G3" s="249"/>
      <c r="H3" s="249"/>
      <c r="I3" s="249"/>
      <c r="J3" s="249"/>
      <c r="K3" s="250"/>
    </row>
    <row r="4" spans="1:11" ht="15.75" x14ac:dyDescent="0.25">
      <c r="A4" s="227" t="s">
        <v>682</v>
      </c>
      <c r="B4" s="228"/>
      <c r="C4" s="229"/>
      <c r="D4" s="64"/>
      <c r="E4" s="64"/>
      <c r="F4" s="64"/>
      <c r="G4" s="64"/>
      <c r="H4" s="64"/>
      <c r="I4" s="227" t="s">
        <v>1089</v>
      </c>
      <c r="J4" s="228"/>
      <c r="K4" s="229"/>
    </row>
    <row r="5" spans="1:11" ht="45" x14ac:dyDescent="0.25">
      <c r="A5" s="152" t="s">
        <v>0</v>
      </c>
      <c r="B5" s="153" t="s">
        <v>1</v>
      </c>
      <c r="C5" s="153" t="s">
        <v>2</v>
      </c>
      <c r="D5" s="153" t="s">
        <v>3</v>
      </c>
      <c r="E5" s="153" t="s">
        <v>4</v>
      </c>
      <c r="F5" s="153" t="s">
        <v>147</v>
      </c>
      <c r="G5" s="153" t="s">
        <v>9</v>
      </c>
      <c r="H5" s="153" t="s">
        <v>6</v>
      </c>
      <c r="I5" s="153" t="s">
        <v>7</v>
      </c>
      <c r="J5" s="159" t="s">
        <v>8</v>
      </c>
      <c r="K5" s="159" t="s">
        <v>10</v>
      </c>
    </row>
    <row r="6" spans="1:11" ht="48" x14ac:dyDescent="0.25">
      <c r="A6" s="36">
        <v>1</v>
      </c>
      <c r="B6" s="36" t="s">
        <v>1066</v>
      </c>
      <c r="C6" s="36" t="s">
        <v>607</v>
      </c>
      <c r="D6" s="36">
        <v>1</v>
      </c>
      <c r="E6" s="36" t="s">
        <v>11</v>
      </c>
      <c r="F6" s="45">
        <v>40000000</v>
      </c>
      <c r="G6" s="45">
        <f>D6*F6</f>
        <v>40000000</v>
      </c>
      <c r="H6" s="36" t="s">
        <v>611</v>
      </c>
      <c r="I6" s="36" t="s">
        <v>536</v>
      </c>
      <c r="J6" s="36" t="s">
        <v>40</v>
      </c>
      <c r="K6" s="36" t="s">
        <v>646</v>
      </c>
    </row>
  </sheetData>
  <mergeCells count="3">
    <mergeCell ref="A3:K3"/>
    <mergeCell ref="A4:C4"/>
    <mergeCell ref="I4:K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
  <sheetViews>
    <sheetView workbookViewId="0">
      <selection activeCell="J5" sqref="J5"/>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2" spans="1:11" ht="15.75" x14ac:dyDescent="0.25">
      <c r="A2" s="220" t="s">
        <v>747</v>
      </c>
      <c r="B2" s="249"/>
      <c r="C2" s="249"/>
      <c r="D2" s="249"/>
      <c r="E2" s="249"/>
      <c r="F2" s="249"/>
      <c r="G2" s="249"/>
      <c r="H2" s="249"/>
      <c r="I2" s="249"/>
      <c r="J2" s="249"/>
      <c r="K2" s="250"/>
    </row>
    <row r="3" spans="1:11" ht="15.75" x14ac:dyDescent="0.25">
      <c r="A3" s="227" t="s">
        <v>709</v>
      </c>
      <c r="B3" s="228"/>
      <c r="C3" s="229"/>
      <c r="D3" s="64"/>
      <c r="E3" s="64"/>
      <c r="F3" s="64"/>
      <c r="G3" s="64"/>
      <c r="H3" s="64"/>
      <c r="I3" s="227" t="s">
        <v>1089</v>
      </c>
      <c r="J3" s="228"/>
      <c r="K3" s="229"/>
    </row>
    <row r="4" spans="1:11" ht="45" x14ac:dyDescent="0.25">
      <c r="A4" s="152" t="s">
        <v>0</v>
      </c>
      <c r="B4" s="153" t="s">
        <v>1</v>
      </c>
      <c r="C4" s="153" t="s">
        <v>2</v>
      </c>
      <c r="D4" s="153" t="s">
        <v>3</v>
      </c>
      <c r="E4" s="153" t="s">
        <v>4</v>
      </c>
      <c r="F4" s="153" t="s">
        <v>147</v>
      </c>
      <c r="G4" s="153" t="s">
        <v>9</v>
      </c>
      <c r="H4" s="153" t="s">
        <v>6</v>
      </c>
      <c r="I4" s="153" t="s">
        <v>7</v>
      </c>
      <c r="J4" s="159" t="s">
        <v>8</v>
      </c>
      <c r="K4" s="159" t="s">
        <v>10</v>
      </c>
    </row>
    <row r="5" spans="1:11" ht="60" x14ac:dyDescent="0.25">
      <c r="A5" s="36">
        <v>1</v>
      </c>
      <c r="B5" s="36" t="s">
        <v>691</v>
      </c>
      <c r="C5" s="36" t="s">
        <v>690</v>
      </c>
      <c r="D5" s="38">
        <v>1</v>
      </c>
      <c r="E5" s="38" t="s">
        <v>11</v>
      </c>
      <c r="F5" s="45">
        <v>40000000</v>
      </c>
      <c r="G5" s="45">
        <f>D5*F5</f>
        <v>40000000</v>
      </c>
      <c r="H5" s="38" t="s">
        <v>611</v>
      </c>
      <c r="I5" s="38" t="s">
        <v>536</v>
      </c>
      <c r="J5" s="38" t="s">
        <v>40</v>
      </c>
      <c r="K5" s="36" t="s">
        <v>646</v>
      </c>
    </row>
  </sheetData>
  <mergeCells count="3">
    <mergeCell ref="A2:K2"/>
    <mergeCell ref="A3:C3"/>
    <mergeCell ref="I3:K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
  <sheetViews>
    <sheetView workbookViewId="0">
      <selection activeCell="J6" sqref="J6"/>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3" spans="1:11" ht="15.75" x14ac:dyDescent="0.25">
      <c r="A3" s="220" t="s">
        <v>748</v>
      </c>
      <c r="B3" s="249"/>
      <c r="C3" s="249"/>
      <c r="D3" s="249"/>
      <c r="E3" s="249"/>
      <c r="F3" s="249"/>
      <c r="G3" s="249"/>
      <c r="H3" s="249"/>
      <c r="I3" s="249"/>
      <c r="J3" s="249"/>
      <c r="K3" s="250"/>
    </row>
    <row r="4" spans="1:11" ht="15.75" x14ac:dyDescent="0.25">
      <c r="A4" s="227" t="s">
        <v>692</v>
      </c>
      <c r="B4" s="228"/>
      <c r="C4" s="229"/>
      <c r="D4" s="64"/>
      <c r="E4" s="64"/>
      <c r="F4" s="64"/>
      <c r="G4" s="64"/>
      <c r="H4" s="64"/>
      <c r="I4" s="227" t="s">
        <v>1081</v>
      </c>
      <c r="J4" s="228"/>
      <c r="K4" s="229"/>
    </row>
    <row r="5" spans="1:11" ht="45" x14ac:dyDescent="0.25">
      <c r="A5" s="152" t="s">
        <v>0</v>
      </c>
      <c r="B5" s="153" t="s">
        <v>1</v>
      </c>
      <c r="C5" s="153" t="s">
        <v>2</v>
      </c>
      <c r="D5" s="153" t="s">
        <v>3</v>
      </c>
      <c r="E5" s="153" t="s">
        <v>4</v>
      </c>
      <c r="F5" s="153" t="s">
        <v>147</v>
      </c>
      <c r="G5" s="153" t="s">
        <v>9</v>
      </c>
      <c r="H5" s="153" t="s">
        <v>6</v>
      </c>
      <c r="I5" s="153" t="s">
        <v>7</v>
      </c>
      <c r="J5" s="159" t="s">
        <v>8</v>
      </c>
      <c r="K5" s="159" t="s">
        <v>10</v>
      </c>
    </row>
    <row r="6" spans="1:11" ht="60" x14ac:dyDescent="0.25">
      <c r="A6" s="36">
        <v>1</v>
      </c>
      <c r="B6" s="36" t="s">
        <v>701</v>
      </c>
      <c r="C6" s="36" t="s">
        <v>690</v>
      </c>
      <c r="D6" s="38">
        <v>1</v>
      </c>
      <c r="E6" s="38" t="s">
        <v>11</v>
      </c>
      <c r="F6" s="45">
        <v>100000000</v>
      </c>
      <c r="G6" s="45">
        <f>D6*F6</f>
        <v>100000000</v>
      </c>
      <c r="H6" s="38" t="s">
        <v>611</v>
      </c>
      <c r="I6" s="38" t="s">
        <v>536</v>
      </c>
      <c r="J6" s="38" t="s">
        <v>40</v>
      </c>
      <c r="K6" s="36" t="s">
        <v>693</v>
      </c>
    </row>
  </sheetData>
  <mergeCells count="3">
    <mergeCell ref="A3:K3"/>
    <mergeCell ref="A4:C4"/>
    <mergeCell ref="I4:K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
  <sheetViews>
    <sheetView workbookViewId="0">
      <selection activeCell="J6" sqref="J6"/>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3" spans="1:11" ht="15.75" x14ac:dyDescent="0.25">
      <c r="A3" s="220" t="s">
        <v>749</v>
      </c>
      <c r="B3" s="249"/>
      <c r="C3" s="249"/>
      <c r="D3" s="249"/>
      <c r="E3" s="249"/>
      <c r="F3" s="249"/>
      <c r="G3" s="249"/>
      <c r="H3" s="249"/>
      <c r="I3" s="249"/>
      <c r="J3" s="249"/>
      <c r="K3" s="250"/>
    </row>
    <row r="4" spans="1:11" ht="15.75" x14ac:dyDescent="0.25">
      <c r="A4" s="227" t="s">
        <v>700</v>
      </c>
      <c r="B4" s="228"/>
      <c r="C4" s="229"/>
      <c r="D4" s="64"/>
      <c r="E4" s="64"/>
      <c r="F4" s="64"/>
      <c r="G4" s="64"/>
      <c r="H4" s="64"/>
      <c r="I4" s="227" t="s">
        <v>1097</v>
      </c>
      <c r="J4" s="228"/>
      <c r="K4" s="229"/>
    </row>
    <row r="5" spans="1:11" ht="45" x14ac:dyDescent="0.25">
      <c r="A5" s="152" t="s">
        <v>0</v>
      </c>
      <c r="B5" s="153" t="s">
        <v>1</v>
      </c>
      <c r="C5" s="153" t="s">
        <v>2</v>
      </c>
      <c r="D5" s="153" t="s">
        <v>3</v>
      </c>
      <c r="E5" s="153" t="s">
        <v>4</v>
      </c>
      <c r="F5" s="153" t="s">
        <v>147</v>
      </c>
      <c r="G5" s="153" t="s">
        <v>9</v>
      </c>
      <c r="H5" s="153" t="s">
        <v>6</v>
      </c>
      <c r="I5" s="153" t="s">
        <v>7</v>
      </c>
      <c r="J5" s="159" t="s">
        <v>8</v>
      </c>
      <c r="K5" s="159" t="s">
        <v>10</v>
      </c>
    </row>
    <row r="6" spans="1:11" ht="36" x14ac:dyDescent="0.25">
      <c r="A6" s="36">
        <v>1</v>
      </c>
      <c r="B6" s="36" t="s">
        <v>694</v>
      </c>
      <c r="C6" s="36" t="s">
        <v>695</v>
      </c>
      <c r="D6" s="38">
        <v>1</v>
      </c>
      <c r="E6" s="38" t="s">
        <v>11</v>
      </c>
      <c r="F6" s="45">
        <v>180000000</v>
      </c>
      <c r="G6" s="45">
        <f>D6*F6</f>
        <v>180000000</v>
      </c>
      <c r="H6" s="38" t="s">
        <v>611</v>
      </c>
      <c r="I6" s="38" t="s">
        <v>536</v>
      </c>
      <c r="J6" s="38" t="s">
        <v>40</v>
      </c>
      <c r="K6" s="36" t="s">
        <v>693</v>
      </c>
    </row>
  </sheetData>
  <mergeCells count="3">
    <mergeCell ref="A3:K3"/>
    <mergeCell ref="A4:C4"/>
    <mergeCell ref="I4:K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
  <sheetViews>
    <sheetView workbookViewId="0">
      <selection activeCell="I22" sqref="I22"/>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3" spans="1:11" ht="15.75" x14ac:dyDescent="0.25">
      <c r="A3" s="220" t="s">
        <v>934</v>
      </c>
      <c r="B3" s="249"/>
      <c r="C3" s="249"/>
      <c r="D3" s="249"/>
      <c r="E3" s="249"/>
      <c r="F3" s="249"/>
      <c r="G3" s="249"/>
      <c r="H3" s="249"/>
      <c r="I3" s="249"/>
      <c r="J3" s="249"/>
      <c r="K3" s="250"/>
    </row>
    <row r="4" spans="1:11" ht="15.75" x14ac:dyDescent="0.25">
      <c r="A4" s="227" t="s">
        <v>1067</v>
      </c>
      <c r="B4" s="228"/>
      <c r="C4" s="229"/>
      <c r="D4" s="64"/>
      <c r="E4" s="64"/>
      <c r="F4" s="64"/>
      <c r="G4" s="64"/>
      <c r="H4" s="64"/>
      <c r="I4" s="227" t="s">
        <v>1098</v>
      </c>
      <c r="J4" s="228"/>
      <c r="K4" s="229"/>
    </row>
    <row r="5" spans="1:11" ht="45" x14ac:dyDescent="0.25">
      <c r="A5" s="152" t="s">
        <v>0</v>
      </c>
      <c r="B5" s="153" t="s">
        <v>1</v>
      </c>
      <c r="C5" s="153" t="s">
        <v>2</v>
      </c>
      <c r="D5" s="153" t="s">
        <v>3</v>
      </c>
      <c r="E5" s="153" t="s">
        <v>4</v>
      </c>
      <c r="F5" s="153" t="s">
        <v>147</v>
      </c>
      <c r="G5" s="153" t="s">
        <v>9</v>
      </c>
      <c r="H5" s="153" t="s">
        <v>6</v>
      </c>
      <c r="I5" s="153" t="s">
        <v>7</v>
      </c>
      <c r="J5" s="159" t="s">
        <v>8</v>
      </c>
      <c r="K5" s="159" t="s">
        <v>10</v>
      </c>
    </row>
    <row r="6" spans="1:11" ht="48" x14ac:dyDescent="0.25">
      <c r="A6" s="36">
        <v>1</v>
      </c>
      <c r="B6" s="36" t="s">
        <v>696</v>
      </c>
      <c r="C6" s="36" t="s">
        <v>697</v>
      </c>
      <c r="D6" s="38">
        <v>1</v>
      </c>
      <c r="E6" s="38" t="s">
        <v>11</v>
      </c>
      <c r="F6" s="186">
        <v>140000000</v>
      </c>
      <c r="G6" s="186">
        <f>D6*F6</f>
        <v>140000000</v>
      </c>
      <c r="H6" s="38" t="s">
        <v>611</v>
      </c>
      <c r="I6" s="38" t="s">
        <v>536</v>
      </c>
      <c r="J6" s="38" t="s">
        <v>40</v>
      </c>
      <c r="K6" s="36" t="s">
        <v>693</v>
      </c>
    </row>
  </sheetData>
  <mergeCells count="3">
    <mergeCell ref="A3:K3"/>
    <mergeCell ref="A4:C4"/>
    <mergeCell ref="I4:K4"/>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
  <sheetViews>
    <sheetView workbookViewId="0">
      <selection activeCell="J6" sqref="J6"/>
    </sheetView>
  </sheetViews>
  <sheetFormatPr baseColWidth="10" defaultRowHeight="15" x14ac:dyDescent="0.25"/>
  <cols>
    <col min="1" max="1" width="5.7109375" customWidth="1"/>
    <col min="2" max="2" width="25.140625" customWidth="1"/>
    <col min="3" max="3" width="23.28515625" customWidth="1"/>
    <col min="4" max="4" width="7.42578125" customWidth="1"/>
    <col min="5" max="5" width="8.5703125" customWidth="1"/>
    <col min="6" max="6" width="15.85546875" customWidth="1"/>
    <col min="7" max="7" width="16.42578125" customWidth="1"/>
    <col min="8" max="8" width="8.7109375" customWidth="1"/>
    <col min="9" max="9" width="8.5703125" customWidth="1"/>
    <col min="10" max="10" width="10.5703125" customWidth="1"/>
    <col min="13" max="13" width="16.85546875" bestFit="1" customWidth="1"/>
  </cols>
  <sheetData>
    <row r="3" spans="1:11" ht="15.75" x14ac:dyDescent="0.25">
      <c r="A3" s="220" t="s">
        <v>750</v>
      </c>
      <c r="B3" s="249"/>
      <c r="C3" s="249"/>
      <c r="D3" s="249"/>
      <c r="E3" s="249"/>
      <c r="F3" s="249"/>
      <c r="G3" s="249"/>
      <c r="H3" s="249"/>
      <c r="I3" s="249"/>
      <c r="J3" s="249"/>
      <c r="K3" s="250"/>
    </row>
    <row r="4" spans="1:11" ht="15.75" x14ac:dyDescent="0.25">
      <c r="A4" s="227" t="s">
        <v>1068</v>
      </c>
      <c r="B4" s="228"/>
      <c r="C4" s="229"/>
      <c r="D4" s="64"/>
      <c r="E4" s="64"/>
      <c r="F4" s="64"/>
      <c r="G4" s="64"/>
      <c r="H4" s="64"/>
      <c r="I4" s="227" t="s">
        <v>1097</v>
      </c>
      <c r="J4" s="228"/>
      <c r="K4" s="229"/>
    </row>
    <row r="5" spans="1:11" ht="45" x14ac:dyDescent="0.25">
      <c r="A5" s="152" t="s">
        <v>0</v>
      </c>
      <c r="B5" s="153" t="s">
        <v>1</v>
      </c>
      <c r="C5" s="153" t="s">
        <v>2</v>
      </c>
      <c r="D5" s="153" t="s">
        <v>3</v>
      </c>
      <c r="E5" s="153" t="s">
        <v>4</v>
      </c>
      <c r="F5" s="153" t="s">
        <v>147</v>
      </c>
      <c r="G5" s="153" t="s">
        <v>9</v>
      </c>
      <c r="H5" s="153" t="s">
        <v>6</v>
      </c>
      <c r="I5" s="153" t="s">
        <v>7</v>
      </c>
      <c r="J5" s="159" t="s">
        <v>8</v>
      </c>
      <c r="K5" s="159" t="s">
        <v>10</v>
      </c>
    </row>
    <row r="6" spans="1:11" ht="36" x14ac:dyDescent="0.25">
      <c r="A6" s="36">
        <v>1</v>
      </c>
      <c r="B6" s="36" t="s">
        <v>698</v>
      </c>
      <c r="C6" s="36" t="s">
        <v>699</v>
      </c>
      <c r="D6" s="38">
        <v>1</v>
      </c>
      <c r="E6" s="38" t="s">
        <v>11</v>
      </c>
      <c r="F6" s="186">
        <v>180000000</v>
      </c>
      <c r="G6" s="186">
        <f>D6*F6</f>
        <v>180000000</v>
      </c>
      <c r="H6" s="38" t="s">
        <v>611</v>
      </c>
      <c r="I6" s="38" t="s">
        <v>536</v>
      </c>
      <c r="J6" s="38" t="s">
        <v>40</v>
      </c>
      <c r="K6" s="36" t="s">
        <v>693</v>
      </c>
    </row>
  </sheetData>
  <mergeCells count="3">
    <mergeCell ref="A3:K3"/>
    <mergeCell ref="A4:C4"/>
    <mergeCell ref="I4:K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52" workbookViewId="0">
      <selection activeCell="L39" sqref="L39"/>
    </sheetView>
  </sheetViews>
  <sheetFormatPr baseColWidth="10" defaultRowHeight="15" x14ac:dyDescent="0.25"/>
  <cols>
    <col min="1" max="1" width="5.42578125" customWidth="1"/>
    <col min="2" max="2" width="29.140625" customWidth="1"/>
  </cols>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P35" sqref="P35"/>
    </sheetView>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S27"/>
  <sheetViews>
    <sheetView topLeftCell="C1" workbookViewId="0">
      <selection activeCell="L6" sqref="L6"/>
    </sheetView>
  </sheetViews>
  <sheetFormatPr baseColWidth="10" defaultRowHeight="15" x14ac:dyDescent="0.25"/>
  <cols>
    <col min="3" max="3" width="6.140625" customWidth="1"/>
    <col min="4" max="4" width="26.42578125" customWidth="1"/>
    <col min="5" max="5" width="17.42578125" customWidth="1"/>
    <col min="6" max="6" width="7.140625" customWidth="1"/>
    <col min="7" max="7" width="6.7109375" customWidth="1"/>
    <col min="8" max="8" width="13.85546875" customWidth="1"/>
    <col min="9" max="9" width="12.7109375" customWidth="1"/>
    <col min="13" max="13" width="12.5703125" customWidth="1"/>
  </cols>
  <sheetData>
    <row r="3" spans="3:14" ht="29.25" customHeight="1" x14ac:dyDescent="0.25">
      <c r="C3" s="234" t="s">
        <v>1070</v>
      </c>
      <c r="D3" s="251"/>
      <c r="E3" s="251"/>
      <c r="F3" s="251"/>
      <c r="G3" s="251"/>
      <c r="H3" s="251"/>
      <c r="I3" s="251"/>
      <c r="J3" s="251"/>
      <c r="K3" s="251"/>
      <c r="L3" s="251"/>
      <c r="M3" s="252"/>
      <c r="N3" s="256"/>
    </row>
    <row r="4" spans="3:14" ht="15.75" x14ac:dyDescent="0.25">
      <c r="C4" s="227" t="s">
        <v>935</v>
      </c>
      <c r="D4" s="228"/>
      <c r="E4" s="229"/>
      <c r="F4" s="253"/>
      <c r="G4" s="254"/>
      <c r="H4" s="254"/>
      <c r="I4" s="255"/>
      <c r="J4" s="227" t="s">
        <v>1099</v>
      </c>
      <c r="K4" s="228"/>
      <c r="L4" s="228"/>
      <c r="M4" s="229"/>
      <c r="N4" s="256"/>
    </row>
    <row r="5" spans="3:14" ht="35.25" customHeight="1" x14ac:dyDescent="0.25">
      <c r="C5" s="152" t="s">
        <v>710</v>
      </c>
      <c r="D5" s="153" t="s">
        <v>711</v>
      </c>
      <c r="E5" s="153" t="s">
        <v>620</v>
      </c>
      <c r="F5" s="153" t="s">
        <v>3</v>
      </c>
      <c r="G5" s="153" t="s">
        <v>712</v>
      </c>
      <c r="H5" s="153" t="s">
        <v>619</v>
      </c>
      <c r="I5" s="153" t="s">
        <v>713</v>
      </c>
      <c r="J5" s="153" t="s">
        <v>6</v>
      </c>
      <c r="K5" s="153" t="s">
        <v>7</v>
      </c>
      <c r="L5" s="159" t="s">
        <v>714</v>
      </c>
      <c r="M5" s="159"/>
      <c r="N5" s="256"/>
    </row>
    <row r="6" spans="3:14" ht="72" x14ac:dyDescent="0.25">
      <c r="C6" s="56">
        <v>1</v>
      </c>
      <c r="D6" s="36" t="s">
        <v>936</v>
      </c>
      <c r="E6" s="28" t="s">
        <v>702</v>
      </c>
      <c r="F6" s="56">
        <v>1</v>
      </c>
      <c r="G6" s="56" t="s">
        <v>11</v>
      </c>
      <c r="H6" s="46">
        <v>13090715315</v>
      </c>
      <c r="I6" s="46">
        <f>F6*H6</f>
        <v>13090715315</v>
      </c>
      <c r="J6" s="56" t="s">
        <v>611</v>
      </c>
      <c r="K6" s="36" t="s">
        <v>703</v>
      </c>
      <c r="L6" s="56" t="s">
        <v>40</v>
      </c>
      <c r="M6" s="36" t="s">
        <v>705</v>
      </c>
      <c r="N6" s="256"/>
    </row>
    <row r="7" spans="3:14" ht="15.75" x14ac:dyDescent="0.25">
      <c r="C7" s="106"/>
      <c r="D7" s="107"/>
      <c r="E7" s="107"/>
      <c r="F7" s="106"/>
      <c r="G7" s="106"/>
      <c r="H7" s="107"/>
      <c r="I7" s="107"/>
      <c r="J7" s="106"/>
      <c r="K7" s="106"/>
      <c r="L7" s="106"/>
      <c r="M7" s="106"/>
      <c r="N7" s="98"/>
    </row>
    <row r="8" spans="3:14" ht="15.75" x14ac:dyDescent="0.25">
      <c r="C8" s="106"/>
      <c r="D8" s="107"/>
      <c r="E8" s="107"/>
      <c r="F8" s="106"/>
      <c r="G8" s="106"/>
      <c r="H8" s="107"/>
      <c r="I8" s="107"/>
      <c r="J8" s="106"/>
      <c r="K8" s="106"/>
      <c r="L8" s="106"/>
      <c r="M8" s="106"/>
      <c r="N8" s="98"/>
    </row>
    <row r="26" spans="18:19" x14ac:dyDescent="0.25">
      <c r="R26" t="s">
        <v>12</v>
      </c>
    </row>
    <row r="27" spans="18:19" x14ac:dyDescent="0.25">
      <c r="S27" t="s">
        <v>12</v>
      </c>
    </row>
  </sheetData>
  <mergeCells count="5">
    <mergeCell ref="C4:E4"/>
    <mergeCell ref="C3:M3"/>
    <mergeCell ref="J4:M4"/>
    <mergeCell ref="F4:I4"/>
    <mergeCell ref="N3:N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31" workbookViewId="0">
      <selection activeCell="A17" sqref="A17:A41"/>
    </sheetView>
  </sheetViews>
  <sheetFormatPr baseColWidth="10" defaultRowHeight="15" x14ac:dyDescent="0.25"/>
  <cols>
    <col min="1" max="1" width="7" customWidth="1"/>
    <col min="2" max="2" width="23.7109375" customWidth="1"/>
    <col min="3" max="3" width="30.140625" customWidth="1"/>
    <col min="4" max="4" width="9.5703125" customWidth="1"/>
    <col min="5" max="5" width="8.5703125" customWidth="1"/>
    <col min="6" max="6" width="10.85546875" customWidth="1"/>
    <col min="7" max="7" width="12.5703125" bestFit="1" customWidth="1"/>
    <col min="8" max="8" width="13.140625" customWidth="1"/>
    <col min="10" max="10" width="21.140625" customWidth="1"/>
    <col min="11" max="11" width="41.140625" customWidth="1"/>
  </cols>
  <sheetData>
    <row r="1" spans="1:14" x14ac:dyDescent="0.25">
      <c r="A1" s="197" t="s">
        <v>722</v>
      </c>
      <c r="B1" s="198"/>
      <c r="C1" s="198"/>
      <c r="D1" s="198"/>
      <c r="E1" s="198"/>
      <c r="F1" s="198"/>
      <c r="G1" s="198"/>
      <c r="H1" s="198"/>
      <c r="I1" s="198"/>
      <c r="J1" s="198"/>
      <c r="K1" s="199"/>
    </row>
    <row r="2" spans="1:14" x14ac:dyDescent="0.25">
      <c r="A2" s="200" t="s">
        <v>617</v>
      </c>
      <c r="B2" s="201"/>
      <c r="C2" s="201"/>
      <c r="D2" s="114"/>
      <c r="E2" s="57"/>
      <c r="F2" s="57"/>
      <c r="G2" s="57"/>
      <c r="H2" s="57"/>
      <c r="I2" s="57"/>
      <c r="J2" s="201" t="s">
        <v>1071</v>
      </c>
      <c r="K2" s="202"/>
    </row>
    <row r="3" spans="1:14" ht="33.75" x14ac:dyDescent="0.25">
      <c r="A3" s="152" t="s">
        <v>0</v>
      </c>
      <c r="B3" s="153" t="s">
        <v>1</v>
      </c>
      <c r="C3" s="153" t="s">
        <v>620</v>
      </c>
      <c r="D3" s="153" t="s">
        <v>4</v>
      </c>
      <c r="E3" s="153" t="s">
        <v>1138</v>
      </c>
      <c r="F3" s="153" t="s">
        <v>1072</v>
      </c>
      <c r="G3" s="153" t="s">
        <v>1102</v>
      </c>
      <c r="H3" s="153" t="s">
        <v>6</v>
      </c>
      <c r="I3" s="153" t="s">
        <v>8</v>
      </c>
      <c r="J3" s="153" t="s">
        <v>601</v>
      </c>
      <c r="K3" s="153" t="s">
        <v>10</v>
      </c>
    </row>
    <row r="4" spans="1:14" ht="72" customHeight="1" x14ac:dyDescent="0.25">
      <c r="A4" s="15">
        <v>1</v>
      </c>
      <c r="B4" s="126" t="s">
        <v>16</v>
      </c>
      <c r="C4" s="6" t="s">
        <v>762</v>
      </c>
      <c r="D4" s="8" t="s">
        <v>11</v>
      </c>
      <c r="E4" s="8">
        <v>1</v>
      </c>
      <c r="F4" s="18">
        <f>208965*4.5%+208965</f>
        <v>218368.42499999999</v>
      </c>
      <c r="G4" s="18">
        <f>E4*F4</f>
        <v>218368.42499999999</v>
      </c>
      <c r="H4" s="18" t="s">
        <v>535</v>
      </c>
      <c r="I4" s="3" t="s">
        <v>39</v>
      </c>
      <c r="J4" s="3" t="s">
        <v>919</v>
      </c>
      <c r="K4" s="6" t="s">
        <v>760</v>
      </c>
    </row>
    <row r="5" spans="1:14" ht="42.75" customHeight="1" x14ac:dyDescent="0.25">
      <c r="A5" s="15">
        <v>2</v>
      </c>
      <c r="B5" s="126" t="s">
        <v>761</v>
      </c>
      <c r="C5" s="6" t="s">
        <v>762</v>
      </c>
      <c r="D5" s="8" t="s">
        <v>11</v>
      </c>
      <c r="E5" s="8">
        <v>1</v>
      </c>
      <c r="F5" s="18">
        <f>374680*45%+374680</f>
        <v>543286</v>
      </c>
      <c r="G5" s="18">
        <f t="shared" ref="G5:G34" si="0">E5*F5</f>
        <v>543286</v>
      </c>
      <c r="H5" s="18" t="s">
        <v>535</v>
      </c>
      <c r="I5" s="3" t="s">
        <v>39</v>
      </c>
      <c r="J5" s="3" t="s">
        <v>919</v>
      </c>
      <c r="K5" s="6" t="s">
        <v>763</v>
      </c>
    </row>
    <row r="6" spans="1:14" ht="67.5" x14ac:dyDescent="0.25">
      <c r="A6" s="15">
        <v>3</v>
      </c>
      <c r="B6" s="126" t="s">
        <v>764</v>
      </c>
      <c r="C6" s="6" t="s">
        <v>762</v>
      </c>
      <c r="D6" s="8" t="s">
        <v>11</v>
      </c>
      <c r="E6" s="8">
        <v>1</v>
      </c>
      <c r="F6" s="18">
        <f>150000*4.5%+150000</f>
        <v>156750</v>
      </c>
      <c r="G6" s="18">
        <f t="shared" si="0"/>
        <v>156750</v>
      </c>
      <c r="H6" s="18" t="s">
        <v>535</v>
      </c>
      <c r="I6" s="3" t="s">
        <v>39</v>
      </c>
      <c r="J6" s="3" t="s">
        <v>919</v>
      </c>
      <c r="K6" s="6" t="s">
        <v>50</v>
      </c>
    </row>
    <row r="7" spans="1:14" ht="67.5" x14ac:dyDescent="0.25">
      <c r="A7" s="15">
        <v>4</v>
      </c>
      <c r="B7" s="126" t="s">
        <v>17</v>
      </c>
      <c r="C7" s="6" t="s">
        <v>762</v>
      </c>
      <c r="D7" s="8" t="s">
        <v>11</v>
      </c>
      <c r="E7" s="8">
        <v>1</v>
      </c>
      <c r="F7" s="18">
        <f>580000*4.5%+580000</f>
        <v>606100</v>
      </c>
      <c r="G7" s="18">
        <f t="shared" si="0"/>
        <v>606100</v>
      </c>
      <c r="H7" s="18" t="s">
        <v>535</v>
      </c>
      <c r="I7" s="3" t="s">
        <v>39</v>
      </c>
      <c r="J7" s="3" t="s">
        <v>919</v>
      </c>
      <c r="K7" s="6" t="s">
        <v>765</v>
      </c>
    </row>
    <row r="8" spans="1:14" ht="135" x14ac:dyDescent="0.25">
      <c r="A8" s="15">
        <v>5</v>
      </c>
      <c r="B8" s="126" t="s">
        <v>18</v>
      </c>
      <c r="C8" s="6" t="s">
        <v>766</v>
      </c>
      <c r="D8" s="8" t="s">
        <v>11</v>
      </c>
      <c r="E8" s="8">
        <v>1</v>
      </c>
      <c r="F8" s="18">
        <f>231000*4.5%+231000</f>
        <v>241395</v>
      </c>
      <c r="G8" s="18">
        <f t="shared" si="0"/>
        <v>241395</v>
      </c>
      <c r="H8" s="18" t="s">
        <v>535</v>
      </c>
      <c r="I8" s="3" t="s">
        <v>39</v>
      </c>
      <c r="J8" s="3" t="s">
        <v>919</v>
      </c>
      <c r="K8" s="6" t="s">
        <v>43</v>
      </c>
    </row>
    <row r="9" spans="1:14" ht="67.5" x14ac:dyDescent="0.25">
      <c r="A9" s="15">
        <v>6</v>
      </c>
      <c r="B9" s="126" t="s">
        <v>19</v>
      </c>
      <c r="C9" s="6" t="s">
        <v>762</v>
      </c>
      <c r="D9" s="8" t="s">
        <v>11</v>
      </c>
      <c r="E9" s="8">
        <v>1</v>
      </c>
      <c r="F9" s="18">
        <f>577680*4.5%+577680</f>
        <v>603675.6</v>
      </c>
      <c r="G9" s="18">
        <f t="shared" si="0"/>
        <v>603675.6</v>
      </c>
      <c r="H9" s="18" t="s">
        <v>535</v>
      </c>
      <c r="I9" s="3" t="s">
        <v>39</v>
      </c>
      <c r="J9" s="3" t="s">
        <v>919</v>
      </c>
      <c r="K9" s="6" t="s">
        <v>44</v>
      </c>
    </row>
    <row r="10" spans="1:14" ht="67.5" x14ac:dyDescent="0.25">
      <c r="A10" s="15">
        <v>7</v>
      </c>
      <c r="B10" s="126" t="s">
        <v>20</v>
      </c>
      <c r="C10" s="6" t="s">
        <v>767</v>
      </c>
      <c r="D10" s="8" t="s">
        <v>11</v>
      </c>
      <c r="E10" s="8">
        <v>1</v>
      </c>
      <c r="F10" s="18">
        <f>46500*4.5%+46500</f>
        <v>48592.5</v>
      </c>
      <c r="G10" s="18">
        <f t="shared" si="0"/>
        <v>48592.5</v>
      </c>
      <c r="H10" s="18" t="s">
        <v>535</v>
      </c>
      <c r="I10" s="3" t="s">
        <v>39</v>
      </c>
      <c r="J10" s="3" t="s">
        <v>919</v>
      </c>
      <c r="K10" s="6" t="s">
        <v>45</v>
      </c>
    </row>
    <row r="11" spans="1:14" ht="67.5" x14ac:dyDescent="0.25">
      <c r="A11" s="15">
        <v>8</v>
      </c>
      <c r="B11" s="126" t="s">
        <v>21</v>
      </c>
      <c r="C11" s="6" t="s">
        <v>762</v>
      </c>
      <c r="D11" s="8" t="s">
        <v>11</v>
      </c>
      <c r="E11" s="8">
        <v>1</v>
      </c>
      <c r="F11" s="18">
        <f>382800*4.5%+382800</f>
        <v>400026</v>
      </c>
      <c r="G11" s="18">
        <f t="shared" si="0"/>
        <v>400026</v>
      </c>
      <c r="H11" s="18" t="s">
        <v>535</v>
      </c>
      <c r="I11" s="3" t="s">
        <v>39</v>
      </c>
      <c r="J11" s="3" t="s">
        <v>919</v>
      </c>
      <c r="K11" s="3" t="s">
        <v>46</v>
      </c>
    </row>
    <row r="12" spans="1:14" ht="67.5" x14ac:dyDescent="0.25">
      <c r="A12" s="15">
        <v>9</v>
      </c>
      <c r="B12" s="126" t="s">
        <v>22</v>
      </c>
      <c r="C12" s="6" t="s">
        <v>762</v>
      </c>
      <c r="D12" s="8" t="s">
        <v>11</v>
      </c>
      <c r="E12" s="8">
        <v>1</v>
      </c>
      <c r="F12" s="18">
        <f>120000*4.5%+120000</f>
        <v>125400</v>
      </c>
      <c r="G12" s="18">
        <f t="shared" si="0"/>
        <v>125400</v>
      </c>
      <c r="H12" s="18" t="s">
        <v>535</v>
      </c>
      <c r="I12" s="3" t="s">
        <v>39</v>
      </c>
      <c r="J12" s="3" t="s">
        <v>919</v>
      </c>
      <c r="K12" s="3" t="s">
        <v>47</v>
      </c>
    </row>
    <row r="13" spans="1:14" ht="67.5" x14ac:dyDescent="0.25">
      <c r="A13" s="15">
        <v>10</v>
      </c>
      <c r="B13" s="126" t="s">
        <v>23</v>
      </c>
      <c r="C13" s="6" t="s">
        <v>768</v>
      </c>
      <c r="D13" s="8" t="s">
        <v>11</v>
      </c>
      <c r="E13" s="8">
        <v>1</v>
      </c>
      <c r="F13" s="18">
        <f>70000*4.5%+70000</f>
        <v>73150</v>
      </c>
      <c r="G13" s="18">
        <f t="shared" si="0"/>
        <v>73150</v>
      </c>
      <c r="H13" s="18" t="s">
        <v>535</v>
      </c>
      <c r="I13" s="3" t="s">
        <v>39</v>
      </c>
      <c r="J13" s="3" t="s">
        <v>919</v>
      </c>
      <c r="K13" s="116" t="s">
        <v>769</v>
      </c>
      <c r="N13" s="115" t="s">
        <v>12</v>
      </c>
    </row>
    <row r="14" spans="1:14" ht="67.5" x14ac:dyDescent="0.25">
      <c r="A14" s="15">
        <v>11</v>
      </c>
      <c r="B14" s="126" t="s">
        <v>24</v>
      </c>
      <c r="C14" s="6" t="s">
        <v>762</v>
      </c>
      <c r="D14" s="8" t="s">
        <v>11</v>
      </c>
      <c r="E14" s="8">
        <v>1</v>
      </c>
      <c r="F14" s="18">
        <f>198000+31680</f>
        <v>229680</v>
      </c>
      <c r="G14" s="18">
        <f t="shared" si="0"/>
        <v>229680</v>
      </c>
      <c r="H14" s="18" t="s">
        <v>535</v>
      </c>
      <c r="I14" s="3" t="s">
        <v>39</v>
      </c>
      <c r="J14" s="3" t="s">
        <v>919</v>
      </c>
      <c r="K14" s="3" t="s">
        <v>48</v>
      </c>
    </row>
    <row r="15" spans="1:14" ht="67.5" x14ac:dyDescent="0.25">
      <c r="A15" s="15">
        <v>12</v>
      </c>
      <c r="B15" s="126" t="s">
        <v>25</v>
      </c>
      <c r="C15" s="6" t="s">
        <v>762</v>
      </c>
      <c r="D15" s="8" t="s">
        <v>11</v>
      </c>
      <c r="E15" s="8">
        <v>1</v>
      </c>
      <c r="F15" s="18">
        <f>229680*4.5%+229680</f>
        <v>240015.6</v>
      </c>
      <c r="G15" s="18">
        <f t="shared" si="0"/>
        <v>240015.6</v>
      </c>
      <c r="H15" s="18" t="s">
        <v>535</v>
      </c>
      <c r="I15" s="3" t="s">
        <v>39</v>
      </c>
      <c r="J15" s="3" t="s">
        <v>919</v>
      </c>
      <c r="K15" s="3" t="s">
        <v>51</v>
      </c>
    </row>
    <row r="16" spans="1:14" ht="67.5" x14ac:dyDescent="0.25">
      <c r="A16" s="15">
        <v>13</v>
      </c>
      <c r="B16" s="126" t="s">
        <v>52</v>
      </c>
      <c r="C16" s="6" t="s">
        <v>770</v>
      </c>
      <c r="D16" s="8" t="s">
        <v>11</v>
      </c>
      <c r="E16" s="8">
        <v>1</v>
      </c>
      <c r="F16" s="18">
        <f>150000*4.5%+150000</f>
        <v>156750</v>
      </c>
      <c r="G16" s="18">
        <f t="shared" si="0"/>
        <v>156750</v>
      </c>
      <c r="H16" s="18" t="s">
        <v>535</v>
      </c>
      <c r="I16" s="3" t="s">
        <v>39</v>
      </c>
      <c r="J16" s="3" t="s">
        <v>919</v>
      </c>
      <c r="K16" s="3" t="s">
        <v>49</v>
      </c>
    </row>
    <row r="17" spans="1:11" ht="67.5" x14ac:dyDescent="0.25">
      <c r="A17" s="15">
        <v>14</v>
      </c>
      <c r="B17" s="126" t="s">
        <v>26</v>
      </c>
      <c r="C17" s="6" t="s">
        <v>762</v>
      </c>
      <c r="D17" s="8" t="s">
        <v>11</v>
      </c>
      <c r="E17" s="8">
        <v>1</v>
      </c>
      <c r="F17" s="18">
        <f>647280*4.5%+647280</f>
        <v>676407.6</v>
      </c>
      <c r="G17" s="18">
        <f t="shared" si="0"/>
        <v>676407.6</v>
      </c>
      <c r="H17" s="18" t="s">
        <v>535</v>
      </c>
      <c r="I17" s="3" t="s">
        <v>39</v>
      </c>
      <c r="J17" s="3" t="s">
        <v>919</v>
      </c>
      <c r="K17" s="3" t="s">
        <v>771</v>
      </c>
    </row>
    <row r="18" spans="1:11" ht="67.5" x14ac:dyDescent="0.25">
      <c r="A18" s="15">
        <v>15</v>
      </c>
      <c r="B18" s="126" t="s">
        <v>27</v>
      </c>
      <c r="C18" s="6" t="s">
        <v>762</v>
      </c>
      <c r="D18" s="8" t="s">
        <v>11</v>
      </c>
      <c r="E18" s="8">
        <v>1</v>
      </c>
      <c r="F18" s="18">
        <f>198000+31680</f>
        <v>229680</v>
      </c>
      <c r="G18" s="18">
        <f t="shared" si="0"/>
        <v>229680</v>
      </c>
      <c r="H18" s="18" t="s">
        <v>535</v>
      </c>
      <c r="I18" s="3" t="s">
        <v>39</v>
      </c>
      <c r="J18" s="3" t="s">
        <v>919</v>
      </c>
      <c r="K18" s="3" t="s">
        <v>772</v>
      </c>
    </row>
    <row r="19" spans="1:11" ht="67.5" x14ac:dyDescent="0.25">
      <c r="A19" s="15">
        <v>16</v>
      </c>
      <c r="B19" s="126" t="s">
        <v>28</v>
      </c>
      <c r="C19" s="6" t="s">
        <v>762</v>
      </c>
      <c r="D19" s="8" t="s">
        <v>11</v>
      </c>
      <c r="E19" s="8">
        <v>1</v>
      </c>
      <c r="F19" s="18">
        <f>290000*4.5%+290000</f>
        <v>303050</v>
      </c>
      <c r="G19" s="18">
        <f t="shared" si="0"/>
        <v>303050</v>
      </c>
      <c r="H19" s="18" t="s">
        <v>535</v>
      </c>
      <c r="I19" s="3" t="s">
        <v>39</v>
      </c>
      <c r="J19" s="3" t="s">
        <v>919</v>
      </c>
      <c r="K19" s="3" t="s">
        <v>773</v>
      </c>
    </row>
    <row r="20" spans="1:11" ht="67.5" x14ac:dyDescent="0.25">
      <c r="A20" s="15">
        <v>17</v>
      </c>
      <c r="B20" s="126" t="s">
        <v>29</v>
      </c>
      <c r="C20" s="6" t="s">
        <v>762</v>
      </c>
      <c r="D20" s="8" t="s">
        <v>11</v>
      </c>
      <c r="E20" s="8">
        <v>1</v>
      </c>
      <c r="F20" s="18">
        <f>300000*4.5%+300000</f>
        <v>313500</v>
      </c>
      <c r="G20" s="18">
        <f t="shared" si="0"/>
        <v>313500</v>
      </c>
      <c r="H20" s="18" t="s">
        <v>535</v>
      </c>
      <c r="I20" s="3" t="s">
        <v>39</v>
      </c>
      <c r="J20" s="3" t="s">
        <v>919</v>
      </c>
      <c r="K20" s="3" t="s">
        <v>53</v>
      </c>
    </row>
    <row r="21" spans="1:11" ht="67.5" x14ac:dyDescent="0.25">
      <c r="A21" s="15">
        <v>18</v>
      </c>
      <c r="B21" s="126" t="s">
        <v>30</v>
      </c>
      <c r="C21" s="6" t="s">
        <v>775</v>
      </c>
      <c r="D21" s="8" t="s">
        <v>11</v>
      </c>
      <c r="E21" s="8">
        <v>1</v>
      </c>
      <c r="F21" s="18">
        <f>258000*4.5%+258000</f>
        <v>269610</v>
      </c>
      <c r="G21" s="18">
        <f t="shared" si="0"/>
        <v>269610</v>
      </c>
      <c r="H21" s="18" t="s">
        <v>535</v>
      </c>
      <c r="I21" s="3" t="s">
        <v>39</v>
      </c>
      <c r="J21" s="3" t="s">
        <v>919</v>
      </c>
      <c r="K21" s="3" t="s">
        <v>776</v>
      </c>
    </row>
    <row r="22" spans="1:11" ht="67.5" x14ac:dyDescent="0.25">
      <c r="A22" s="15">
        <v>19</v>
      </c>
      <c r="B22" s="126" t="s">
        <v>63</v>
      </c>
      <c r="C22" s="6" t="s">
        <v>762</v>
      </c>
      <c r="D22" s="8" t="s">
        <v>11</v>
      </c>
      <c r="E22" s="8">
        <v>1</v>
      </c>
      <c r="F22" s="18">
        <f>580000*4.5%+580000</f>
        <v>606100</v>
      </c>
      <c r="G22" s="18">
        <f t="shared" si="0"/>
        <v>606100</v>
      </c>
      <c r="H22" s="18" t="s">
        <v>535</v>
      </c>
      <c r="I22" s="3" t="s">
        <v>39</v>
      </c>
      <c r="J22" s="3" t="s">
        <v>919</v>
      </c>
      <c r="K22" s="3" t="s">
        <v>64</v>
      </c>
    </row>
    <row r="23" spans="1:11" ht="67.5" x14ac:dyDescent="0.25">
      <c r="A23" s="15">
        <v>20</v>
      </c>
      <c r="B23" s="127" t="s">
        <v>31</v>
      </c>
      <c r="C23" s="6" t="s">
        <v>762</v>
      </c>
      <c r="D23" s="8" t="s">
        <v>11</v>
      </c>
      <c r="E23" s="8">
        <v>1</v>
      </c>
      <c r="F23" s="65">
        <f>290000*4.5%+290000</f>
        <v>303050</v>
      </c>
      <c r="G23" s="18">
        <f t="shared" si="0"/>
        <v>303050</v>
      </c>
      <c r="H23" s="18" t="s">
        <v>535</v>
      </c>
      <c r="I23" s="3" t="s">
        <v>39</v>
      </c>
      <c r="J23" s="3" t="s">
        <v>919</v>
      </c>
      <c r="K23" s="9" t="s">
        <v>65</v>
      </c>
    </row>
    <row r="24" spans="1:11" ht="67.5" x14ac:dyDescent="0.25">
      <c r="A24" s="15">
        <v>21</v>
      </c>
      <c r="B24" s="127" t="s">
        <v>42</v>
      </c>
      <c r="C24" s="6" t="s">
        <v>762</v>
      </c>
      <c r="D24" s="8" t="s">
        <v>11</v>
      </c>
      <c r="E24" s="8">
        <v>1</v>
      </c>
      <c r="F24" s="65">
        <f>185600*4.5%+185600</f>
        <v>193952</v>
      </c>
      <c r="G24" s="18">
        <f t="shared" si="0"/>
        <v>193952</v>
      </c>
      <c r="H24" s="18" t="s">
        <v>535</v>
      </c>
      <c r="I24" s="3" t="s">
        <v>39</v>
      </c>
      <c r="J24" s="3" t="s">
        <v>919</v>
      </c>
      <c r="K24" s="9" t="s">
        <v>777</v>
      </c>
    </row>
    <row r="25" spans="1:11" ht="67.5" x14ac:dyDescent="0.25">
      <c r="A25" s="15">
        <v>22</v>
      </c>
      <c r="B25" s="126" t="s">
        <v>32</v>
      </c>
      <c r="C25" s="6" t="s">
        <v>762</v>
      </c>
      <c r="D25" s="8" t="s">
        <v>11</v>
      </c>
      <c r="E25" s="8">
        <v>1</v>
      </c>
      <c r="F25" s="18">
        <f>3612500*4.5%+3612500</f>
        <v>3775062.5</v>
      </c>
      <c r="G25" s="18">
        <f t="shared" si="0"/>
        <v>3775062.5</v>
      </c>
      <c r="H25" s="18" t="s">
        <v>535</v>
      </c>
      <c r="I25" s="3" t="s">
        <v>39</v>
      </c>
      <c r="J25" s="3" t="s">
        <v>919</v>
      </c>
      <c r="K25" s="3" t="s">
        <v>54</v>
      </c>
    </row>
    <row r="26" spans="1:11" ht="67.5" x14ac:dyDescent="0.25">
      <c r="A26" s="15">
        <v>23</v>
      </c>
      <c r="B26" s="126" t="s">
        <v>162</v>
      </c>
      <c r="C26" s="6" t="s">
        <v>762</v>
      </c>
      <c r="D26" s="8" t="s">
        <v>11</v>
      </c>
      <c r="E26" s="8">
        <v>1</v>
      </c>
      <c r="F26" s="18">
        <f>1067200*4.5%+1067200</f>
        <v>1115224</v>
      </c>
      <c r="G26" s="18">
        <f t="shared" si="0"/>
        <v>1115224</v>
      </c>
      <c r="H26" s="18" t="s">
        <v>535</v>
      </c>
      <c r="I26" s="3" t="s">
        <v>39</v>
      </c>
      <c r="J26" s="3" t="s">
        <v>919</v>
      </c>
      <c r="K26" s="3" t="s">
        <v>778</v>
      </c>
    </row>
    <row r="27" spans="1:11" ht="67.5" x14ac:dyDescent="0.25">
      <c r="A27" s="15">
        <v>24</v>
      </c>
      <c r="B27" s="126" t="s">
        <v>779</v>
      </c>
      <c r="C27" s="6" t="s">
        <v>762</v>
      </c>
      <c r="D27" s="8" t="s">
        <v>11</v>
      </c>
      <c r="E27" s="8">
        <v>1</v>
      </c>
      <c r="F27" s="18">
        <f>512240*4.5%+512240</f>
        <v>535290.80000000005</v>
      </c>
      <c r="G27" s="18">
        <f t="shared" si="0"/>
        <v>535290.80000000005</v>
      </c>
      <c r="H27" s="18" t="s">
        <v>535</v>
      </c>
      <c r="I27" s="3" t="s">
        <v>39</v>
      </c>
      <c r="J27" s="3" t="s">
        <v>919</v>
      </c>
      <c r="K27" s="3" t="s">
        <v>55</v>
      </c>
    </row>
    <row r="28" spans="1:11" ht="67.5" x14ac:dyDescent="0.25">
      <c r="A28" s="15">
        <v>25</v>
      </c>
      <c r="B28" s="126" t="s">
        <v>33</v>
      </c>
      <c r="C28" s="6" t="s">
        <v>774</v>
      </c>
      <c r="D28" s="8" t="s">
        <v>11</v>
      </c>
      <c r="E28" s="8">
        <v>1</v>
      </c>
      <c r="F28" s="18">
        <f>168200*4.5%+168200</f>
        <v>175769</v>
      </c>
      <c r="G28" s="18">
        <f t="shared" si="0"/>
        <v>175769</v>
      </c>
      <c r="H28" s="18" t="s">
        <v>535</v>
      </c>
      <c r="I28" s="3" t="s">
        <v>39</v>
      </c>
      <c r="J28" s="3" t="s">
        <v>919</v>
      </c>
      <c r="K28" s="3" t="s">
        <v>780</v>
      </c>
    </row>
    <row r="29" spans="1:11" ht="67.5" x14ac:dyDescent="0.25">
      <c r="A29" s="15">
        <v>26</v>
      </c>
      <c r="B29" s="126" t="s">
        <v>34</v>
      </c>
      <c r="C29" s="6" t="s">
        <v>762</v>
      </c>
      <c r="D29" s="8" t="s">
        <v>11</v>
      </c>
      <c r="E29" s="8">
        <v>1</v>
      </c>
      <c r="F29" s="18">
        <f>208800*4.5%+208800</f>
        <v>218196</v>
      </c>
      <c r="G29" s="18">
        <f t="shared" si="0"/>
        <v>218196</v>
      </c>
      <c r="H29" s="18" t="s">
        <v>535</v>
      </c>
      <c r="I29" s="3" t="s">
        <v>39</v>
      </c>
      <c r="J29" s="3" t="s">
        <v>919</v>
      </c>
      <c r="K29" s="117" t="s">
        <v>56</v>
      </c>
    </row>
    <row r="30" spans="1:11" ht="67.5" x14ac:dyDescent="0.25">
      <c r="A30" s="15">
        <v>27</v>
      </c>
      <c r="B30" s="126" t="s">
        <v>57</v>
      </c>
      <c r="C30" s="6" t="s">
        <v>781</v>
      </c>
      <c r="D30" s="8" t="s">
        <v>11</v>
      </c>
      <c r="E30" s="8">
        <v>1</v>
      </c>
      <c r="F30" s="18">
        <f>928000*4.5%+928000</f>
        <v>969760</v>
      </c>
      <c r="G30" s="18">
        <f t="shared" si="0"/>
        <v>969760</v>
      </c>
      <c r="H30" s="18" t="s">
        <v>535</v>
      </c>
      <c r="I30" s="3" t="s">
        <v>39</v>
      </c>
      <c r="J30" s="3" t="s">
        <v>919</v>
      </c>
      <c r="K30" s="3" t="s">
        <v>58</v>
      </c>
    </row>
    <row r="31" spans="1:11" ht="67.5" x14ac:dyDescent="0.25">
      <c r="A31" s="15">
        <v>28</v>
      </c>
      <c r="B31" s="126" t="s">
        <v>35</v>
      </c>
      <c r="C31" s="6" t="s">
        <v>782</v>
      </c>
      <c r="D31" s="8" t="s">
        <v>11</v>
      </c>
      <c r="E31" s="8">
        <v>0</v>
      </c>
      <c r="F31" s="18">
        <f>1176000*4.5%+1176000</f>
        <v>1228920</v>
      </c>
      <c r="G31" s="18">
        <f t="shared" si="0"/>
        <v>0</v>
      </c>
      <c r="H31" s="18" t="s">
        <v>535</v>
      </c>
      <c r="I31" s="3" t="s">
        <v>39</v>
      </c>
      <c r="J31" s="3" t="s">
        <v>919</v>
      </c>
      <c r="K31" s="3" t="s">
        <v>59</v>
      </c>
    </row>
    <row r="32" spans="1:11" ht="67.5" x14ac:dyDescent="0.25">
      <c r="A32" s="15">
        <v>29</v>
      </c>
      <c r="B32" s="126" t="s">
        <v>36</v>
      </c>
      <c r="C32" s="6" t="s">
        <v>762</v>
      </c>
      <c r="D32" s="8" t="s">
        <v>11</v>
      </c>
      <c r="E32" s="8">
        <v>1</v>
      </c>
      <c r="F32" s="18">
        <f>475600+4.5%+475000</f>
        <v>950600.04499999993</v>
      </c>
      <c r="G32" s="18">
        <f t="shared" si="0"/>
        <v>950600.04499999993</v>
      </c>
      <c r="H32" s="18" t="s">
        <v>535</v>
      </c>
      <c r="I32" s="3" t="s">
        <v>39</v>
      </c>
      <c r="J32" s="3" t="s">
        <v>919</v>
      </c>
      <c r="K32" s="3" t="s">
        <v>62</v>
      </c>
    </row>
    <row r="33" spans="1:11" ht="67.5" x14ac:dyDescent="0.25">
      <c r="A33" s="15">
        <v>30</v>
      </c>
      <c r="B33" s="126" t="s">
        <v>60</v>
      </c>
      <c r="C33" s="6" t="s">
        <v>762</v>
      </c>
      <c r="D33" s="8" t="s">
        <v>11</v>
      </c>
      <c r="E33" s="8">
        <v>1</v>
      </c>
      <c r="F33" s="18">
        <f>350000*4.5%+350000</f>
        <v>365750</v>
      </c>
      <c r="G33" s="18">
        <f t="shared" si="0"/>
        <v>365750</v>
      </c>
      <c r="H33" s="18" t="s">
        <v>535</v>
      </c>
      <c r="I33" s="3" t="s">
        <v>39</v>
      </c>
      <c r="J33" s="3" t="s">
        <v>919</v>
      </c>
      <c r="K33" s="3" t="s">
        <v>148</v>
      </c>
    </row>
    <row r="34" spans="1:11" ht="67.5" x14ac:dyDescent="0.25">
      <c r="A34" s="15">
        <v>31</v>
      </c>
      <c r="B34" s="126" t="s">
        <v>61</v>
      </c>
      <c r="C34" s="6" t="s">
        <v>762</v>
      </c>
      <c r="D34" s="8" t="s">
        <v>11</v>
      </c>
      <c r="E34" s="8">
        <v>1</v>
      </c>
      <c r="F34" s="18">
        <f>80000*4.5%+80000</f>
        <v>83600</v>
      </c>
      <c r="G34" s="18">
        <f t="shared" si="0"/>
        <v>83600</v>
      </c>
      <c r="H34" s="18" t="s">
        <v>535</v>
      </c>
      <c r="I34" s="3" t="s">
        <v>39</v>
      </c>
      <c r="J34" s="3" t="s">
        <v>919</v>
      </c>
      <c r="K34" s="3" t="s">
        <v>615</v>
      </c>
    </row>
    <row r="35" spans="1:11" ht="67.5" x14ac:dyDescent="0.25">
      <c r="A35" s="15">
        <v>32</v>
      </c>
      <c r="B35" s="128" t="s">
        <v>163</v>
      </c>
      <c r="C35" s="19" t="s">
        <v>762</v>
      </c>
      <c r="D35" s="16" t="s">
        <v>11</v>
      </c>
      <c r="E35" s="16">
        <v>1</v>
      </c>
      <c r="F35" s="96">
        <f>230000*4.5%+230000+12000</f>
        <v>252350</v>
      </c>
      <c r="G35" s="65">
        <f>E35*F35</f>
        <v>252350</v>
      </c>
      <c r="H35" s="65" t="s">
        <v>535</v>
      </c>
      <c r="I35" s="9" t="s">
        <v>39</v>
      </c>
      <c r="J35" s="3" t="s">
        <v>919</v>
      </c>
      <c r="K35" s="95" t="s">
        <v>616</v>
      </c>
    </row>
    <row r="36" spans="1:11" ht="67.5" x14ac:dyDescent="0.25">
      <c r="A36" s="15">
        <v>33</v>
      </c>
      <c r="B36" s="129" t="s">
        <v>783</v>
      </c>
      <c r="C36" s="21" t="s">
        <v>784</v>
      </c>
      <c r="D36" s="8" t="s">
        <v>11</v>
      </c>
      <c r="E36" s="102">
        <v>1</v>
      </c>
      <c r="F36" s="34">
        <f>315000*4.5%+315000</f>
        <v>329175</v>
      </c>
      <c r="G36" s="18">
        <f t="shared" ref="G36:G40" si="1">E36*F36</f>
        <v>329175</v>
      </c>
      <c r="H36" s="18" t="s">
        <v>535</v>
      </c>
      <c r="I36" s="3" t="s">
        <v>39</v>
      </c>
      <c r="J36" s="3" t="s">
        <v>919</v>
      </c>
      <c r="K36" s="11" t="s">
        <v>789</v>
      </c>
    </row>
    <row r="37" spans="1:11" ht="67.5" x14ac:dyDescent="0.25">
      <c r="A37" s="15">
        <v>34</v>
      </c>
      <c r="B37" s="129" t="s">
        <v>785</v>
      </c>
      <c r="C37" s="6" t="s">
        <v>762</v>
      </c>
      <c r="D37" s="8" t="s">
        <v>11</v>
      </c>
      <c r="E37" s="102">
        <v>1</v>
      </c>
      <c r="F37" s="33">
        <f>210000*4.5%+210000</f>
        <v>219450</v>
      </c>
      <c r="G37" s="18">
        <f t="shared" si="1"/>
        <v>219450</v>
      </c>
      <c r="H37" s="18" t="s">
        <v>535</v>
      </c>
      <c r="I37" s="3" t="s">
        <v>39</v>
      </c>
      <c r="J37" s="3" t="s">
        <v>919</v>
      </c>
      <c r="K37" s="11" t="s">
        <v>790</v>
      </c>
    </row>
    <row r="38" spans="1:11" ht="67.5" x14ac:dyDescent="0.25">
      <c r="A38" s="15">
        <v>35</v>
      </c>
      <c r="B38" s="129" t="s">
        <v>786</v>
      </c>
      <c r="C38" s="21" t="s">
        <v>787</v>
      </c>
      <c r="D38" s="8" t="s">
        <v>11</v>
      </c>
      <c r="E38" s="102">
        <v>1</v>
      </c>
      <c r="F38" s="33">
        <f>1109900*4.5%+109900</f>
        <v>159845.5</v>
      </c>
      <c r="G38" s="18">
        <f t="shared" si="1"/>
        <v>159845.5</v>
      </c>
      <c r="H38" s="18" t="s">
        <v>535</v>
      </c>
      <c r="I38" s="3" t="s">
        <v>39</v>
      </c>
      <c r="J38" s="3" t="s">
        <v>919</v>
      </c>
      <c r="K38" s="28" t="s">
        <v>788</v>
      </c>
    </row>
    <row r="39" spans="1:11" ht="67.5" x14ac:dyDescent="0.25">
      <c r="A39" s="15">
        <v>36</v>
      </c>
      <c r="B39" s="129" t="s">
        <v>791</v>
      </c>
      <c r="C39" s="21" t="s">
        <v>774</v>
      </c>
      <c r="D39" s="8" t="s">
        <v>11</v>
      </c>
      <c r="E39" s="102">
        <v>1</v>
      </c>
      <c r="F39" s="33">
        <v>100000</v>
      </c>
      <c r="G39" s="18">
        <f t="shared" si="1"/>
        <v>100000</v>
      </c>
      <c r="H39" s="18" t="s">
        <v>535</v>
      </c>
      <c r="I39" s="3" t="s">
        <v>39</v>
      </c>
      <c r="J39" s="3" t="s">
        <v>919</v>
      </c>
      <c r="K39" s="29"/>
    </row>
    <row r="40" spans="1:11" ht="67.5" x14ac:dyDescent="0.25">
      <c r="A40" s="15">
        <v>37</v>
      </c>
      <c r="B40" s="129" t="s">
        <v>941</v>
      </c>
      <c r="C40" s="21" t="s">
        <v>774</v>
      </c>
      <c r="D40" s="8" t="s">
        <v>11</v>
      </c>
      <c r="E40" s="102">
        <v>1</v>
      </c>
      <c r="F40" s="33">
        <v>5000000</v>
      </c>
      <c r="G40" s="18">
        <f t="shared" si="1"/>
        <v>5000000</v>
      </c>
      <c r="H40" s="18" t="s">
        <v>535</v>
      </c>
      <c r="I40" s="3" t="s">
        <v>39</v>
      </c>
      <c r="J40" s="3" t="s">
        <v>919</v>
      </c>
      <c r="K40" s="28" t="s">
        <v>792</v>
      </c>
    </row>
    <row r="41" spans="1:11" ht="67.5" x14ac:dyDescent="0.25">
      <c r="A41" s="15">
        <v>38</v>
      </c>
      <c r="B41" s="129" t="s">
        <v>917</v>
      </c>
      <c r="C41" s="21"/>
      <c r="D41" s="8" t="s">
        <v>11</v>
      </c>
      <c r="E41" s="102">
        <v>1</v>
      </c>
      <c r="F41" s="34">
        <v>9211388</v>
      </c>
      <c r="G41" s="18">
        <f t="shared" ref="G41" si="2">E41*F41</f>
        <v>9211388</v>
      </c>
      <c r="H41" s="18" t="s">
        <v>535</v>
      </c>
      <c r="I41" s="6" t="s">
        <v>39</v>
      </c>
      <c r="J41" s="3" t="s">
        <v>919</v>
      </c>
      <c r="K41" s="28" t="s">
        <v>918</v>
      </c>
    </row>
    <row r="42" spans="1:11" x14ac:dyDescent="0.25">
      <c r="A42" s="1"/>
      <c r="B42" s="1"/>
      <c r="C42" s="1"/>
      <c r="D42" s="1"/>
      <c r="E42" s="1"/>
      <c r="F42" s="1"/>
      <c r="G42" s="113">
        <f>SUM(G4:G41)</f>
        <v>29999999.57</v>
      </c>
      <c r="H42" s="1"/>
      <c r="I42" s="1"/>
      <c r="J42" s="1"/>
      <c r="K42" s="1"/>
    </row>
    <row r="43" spans="1:11" x14ac:dyDescent="0.25">
      <c r="G43" s="132" t="s">
        <v>12</v>
      </c>
    </row>
  </sheetData>
  <mergeCells count="3">
    <mergeCell ref="A1:K1"/>
    <mergeCell ref="A2:C2"/>
    <mergeCell ref="J2:K2"/>
  </mergeCells>
  <hyperlinks>
    <hyperlink ref="N13" r:id="rId1" display="https://articulo.mercadolibre.com.co/MCO-458001662-silla-43-cm-x-492-cm-x-795-cm-plegable-blanca-tec-ea105370-_JM"/>
  </hyperlinks>
  <pageMargins left="0.7" right="0.7"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30"/>
  <sheetViews>
    <sheetView topLeftCell="C1" workbookViewId="0">
      <selection activeCell="L5" sqref="L5"/>
    </sheetView>
  </sheetViews>
  <sheetFormatPr baseColWidth="10" defaultRowHeight="15" x14ac:dyDescent="0.25"/>
  <cols>
    <col min="3" max="3" width="6.140625" customWidth="1"/>
    <col min="4" max="4" width="26.42578125" customWidth="1"/>
    <col min="5" max="5" width="17.42578125" customWidth="1"/>
    <col min="6" max="6" width="7.140625" customWidth="1"/>
    <col min="7" max="7" width="6.7109375" customWidth="1"/>
    <col min="8" max="8" width="13.85546875" customWidth="1"/>
    <col min="9" max="9" width="12.7109375" customWidth="1"/>
    <col min="13" max="13" width="12.5703125" customWidth="1"/>
  </cols>
  <sheetData>
    <row r="1" spans="3:14" ht="15.75" x14ac:dyDescent="0.25">
      <c r="C1" s="106"/>
      <c r="D1" s="107"/>
      <c r="E1" s="107"/>
      <c r="F1" s="106"/>
      <c r="G1" s="106"/>
      <c r="H1" s="107"/>
      <c r="I1" s="107"/>
      <c r="J1" s="106"/>
      <c r="K1" s="106"/>
      <c r="L1" s="106"/>
      <c r="M1" s="106"/>
      <c r="N1" s="131"/>
    </row>
    <row r="2" spans="3:14" ht="34.5" customHeight="1" x14ac:dyDescent="0.25">
      <c r="C2" s="234" t="s">
        <v>1069</v>
      </c>
      <c r="D2" s="251"/>
      <c r="E2" s="251"/>
      <c r="F2" s="251"/>
      <c r="G2" s="251"/>
      <c r="H2" s="251"/>
      <c r="I2" s="251"/>
      <c r="J2" s="251"/>
      <c r="K2" s="251"/>
      <c r="L2" s="251"/>
      <c r="M2" s="252"/>
      <c r="N2" s="131"/>
    </row>
    <row r="3" spans="3:14" ht="15.75" x14ac:dyDescent="0.25">
      <c r="C3" s="227" t="s">
        <v>937</v>
      </c>
      <c r="D3" s="228"/>
      <c r="E3" s="229"/>
      <c r="F3" s="253"/>
      <c r="G3" s="254"/>
      <c r="H3" s="254"/>
      <c r="I3" s="255"/>
      <c r="J3" s="227" t="s">
        <v>1100</v>
      </c>
      <c r="K3" s="228"/>
      <c r="L3" s="228"/>
      <c r="M3" s="229"/>
      <c r="N3" s="131"/>
    </row>
    <row r="4" spans="3:14" ht="33.75" x14ac:dyDescent="0.25">
      <c r="C4" s="152" t="s">
        <v>710</v>
      </c>
      <c r="D4" s="153" t="s">
        <v>711</v>
      </c>
      <c r="E4" s="153" t="s">
        <v>620</v>
      </c>
      <c r="F4" s="153" t="s">
        <v>3</v>
      </c>
      <c r="G4" s="153" t="s">
        <v>712</v>
      </c>
      <c r="H4" s="153" t="s">
        <v>619</v>
      </c>
      <c r="I4" s="153" t="s">
        <v>713</v>
      </c>
      <c r="J4" s="153" t="s">
        <v>6</v>
      </c>
      <c r="K4" s="153" t="s">
        <v>7</v>
      </c>
      <c r="L4" s="159" t="s">
        <v>714</v>
      </c>
      <c r="M4" s="159"/>
      <c r="N4" s="131"/>
    </row>
    <row r="5" spans="3:14" ht="72" x14ac:dyDescent="0.25">
      <c r="C5" s="56">
        <v>1</v>
      </c>
      <c r="D5" s="36" t="s">
        <v>938</v>
      </c>
      <c r="E5" s="28" t="s">
        <v>702</v>
      </c>
      <c r="F5" s="56">
        <v>1</v>
      </c>
      <c r="G5" s="56" t="s">
        <v>11</v>
      </c>
      <c r="H5" s="46">
        <v>1577732001</v>
      </c>
      <c r="I5" s="46">
        <f>F5*H5</f>
        <v>1577732001</v>
      </c>
      <c r="J5" s="56" t="s">
        <v>611</v>
      </c>
      <c r="K5" s="36" t="s">
        <v>703</v>
      </c>
      <c r="L5" s="56" t="s">
        <v>40</v>
      </c>
      <c r="M5" s="36" t="s">
        <v>705</v>
      </c>
      <c r="N5" s="131"/>
    </row>
    <row r="29" spans="18:19" x14ac:dyDescent="0.25">
      <c r="R29" t="s">
        <v>12</v>
      </c>
    </row>
    <row r="30" spans="18:19" x14ac:dyDescent="0.25">
      <c r="S30" t="s">
        <v>12</v>
      </c>
    </row>
  </sheetData>
  <mergeCells count="4">
    <mergeCell ref="C3:E3"/>
    <mergeCell ref="F3:I3"/>
    <mergeCell ref="J3:M3"/>
    <mergeCell ref="C2:M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32"/>
  <sheetViews>
    <sheetView topLeftCell="C1" workbookViewId="0">
      <selection activeCell="L6" sqref="L6"/>
    </sheetView>
  </sheetViews>
  <sheetFormatPr baseColWidth="10" defaultRowHeight="15" x14ac:dyDescent="0.25"/>
  <cols>
    <col min="3" max="3" width="6.140625" customWidth="1"/>
    <col min="4" max="4" width="26.42578125" customWidth="1"/>
    <col min="5" max="5" width="17.42578125" customWidth="1"/>
    <col min="6" max="6" width="7.140625" customWidth="1"/>
    <col min="7" max="7" width="6.7109375" customWidth="1"/>
    <col min="8" max="8" width="13.85546875" customWidth="1"/>
    <col min="9" max="9" width="12.7109375" customWidth="1"/>
    <col min="13" max="13" width="12.5703125" customWidth="1"/>
  </cols>
  <sheetData>
    <row r="1" spans="3:14" x14ac:dyDescent="0.25">
      <c r="C1" s="106"/>
      <c r="D1" s="110"/>
      <c r="E1" s="107"/>
      <c r="F1" s="106"/>
      <c r="G1" s="106"/>
      <c r="H1" s="111"/>
      <c r="I1" s="111"/>
      <c r="J1" s="106"/>
      <c r="K1" s="110"/>
      <c r="L1" s="106"/>
      <c r="M1" s="110"/>
    </row>
    <row r="3" spans="3:14" ht="29.25" customHeight="1" x14ac:dyDescent="0.25">
      <c r="C3" s="240" t="s">
        <v>939</v>
      </c>
      <c r="D3" s="257"/>
      <c r="E3" s="257"/>
      <c r="F3" s="257"/>
      <c r="G3" s="257"/>
      <c r="H3" s="257"/>
      <c r="I3" s="257"/>
      <c r="J3" s="257"/>
      <c r="K3" s="257"/>
      <c r="L3" s="257"/>
      <c r="M3" s="258"/>
    </row>
    <row r="4" spans="3:14" ht="15.75" x14ac:dyDescent="0.25">
      <c r="C4" s="227" t="s">
        <v>717</v>
      </c>
      <c r="D4" s="228"/>
      <c r="E4" s="229"/>
      <c r="F4" s="253"/>
      <c r="G4" s="254"/>
      <c r="H4" s="254"/>
      <c r="I4" s="255"/>
      <c r="J4" s="227" t="s">
        <v>1101</v>
      </c>
      <c r="K4" s="228"/>
      <c r="L4" s="228"/>
      <c r="M4" s="229"/>
    </row>
    <row r="5" spans="3:14" ht="33.75" customHeight="1" x14ac:dyDescent="0.25">
      <c r="C5" s="152" t="s">
        <v>710</v>
      </c>
      <c r="D5" s="153" t="s">
        <v>711</v>
      </c>
      <c r="E5" s="153" t="s">
        <v>620</v>
      </c>
      <c r="F5" s="153" t="s">
        <v>3</v>
      </c>
      <c r="G5" s="153" t="s">
        <v>712</v>
      </c>
      <c r="H5" s="153" t="s">
        <v>619</v>
      </c>
      <c r="I5" s="153" t="s">
        <v>713</v>
      </c>
      <c r="J5" s="153" t="s">
        <v>6</v>
      </c>
      <c r="K5" s="153" t="s">
        <v>7</v>
      </c>
      <c r="L5" s="159" t="s">
        <v>714</v>
      </c>
      <c r="M5" s="159"/>
      <c r="N5" s="105"/>
    </row>
    <row r="6" spans="3:14" ht="60" x14ac:dyDescent="0.25">
      <c r="C6" s="56">
        <v>1</v>
      </c>
      <c r="D6" s="28" t="s">
        <v>715</v>
      </c>
      <c r="E6" s="28" t="s">
        <v>716</v>
      </c>
      <c r="F6" s="56">
        <v>1</v>
      </c>
      <c r="G6" s="56" t="s">
        <v>11</v>
      </c>
      <c r="H6" s="46">
        <f>230000000-8000000+2000000</f>
        <v>224000000</v>
      </c>
      <c r="I6" s="46">
        <f>F6*H6</f>
        <v>224000000</v>
      </c>
      <c r="J6" s="56" t="s">
        <v>611</v>
      </c>
      <c r="K6" s="36" t="s">
        <v>39</v>
      </c>
      <c r="L6" s="56" t="s">
        <v>40</v>
      </c>
      <c r="M6" s="36" t="s">
        <v>705</v>
      </c>
    </row>
    <row r="7" spans="3:14" ht="60" x14ac:dyDescent="0.25">
      <c r="C7" s="56"/>
      <c r="D7" s="28" t="s">
        <v>704</v>
      </c>
      <c r="E7" s="28" t="s">
        <v>716</v>
      </c>
      <c r="F7" s="56">
        <v>3</v>
      </c>
      <c r="G7" s="56"/>
      <c r="H7" s="46">
        <v>2000000</v>
      </c>
      <c r="I7" s="46">
        <f>F7*H7</f>
        <v>6000000</v>
      </c>
      <c r="J7" s="56" t="s">
        <v>611</v>
      </c>
      <c r="K7" s="36" t="s">
        <v>39</v>
      </c>
      <c r="L7" s="56" t="s">
        <v>40</v>
      </c>
      <c r="M7" s="36" t="s">
        <v>705</v>
      </c>
    </row>
    <row r="8" spans="3:14" x14ac:dyDescent="0.25">
      <c r="I8" s="32" t="s">
        <v>12</v>
      </c>
    </row>
    <row r="31" spans="18:19" x14ac:dyDescent="0.25">
      <c r="R31" t="s">
        <v>12</v>
      </c>
    </row>
    <row r="32" spans="18:19" x14ac:dyDescent="0.25">
      <c r="S32" t="s">
        <v>12</v>
      </c>
    </row>
  </sheetData>
  <mergeCells count="4">
    <mergeCell ref="C3:M3"/>
    <mergeCell ref="C4:E4"/>
    <mergeCell ref="F4:I4"/>
    <mergeCell ref="J4:M4"/>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29" workbookViewId="0">
      <selection activeCell="B43" sqref="B43"/>
    </sheetView>
  </sheetViews>
  <sheetFormatPr baseColWidth="10" defaultRowHeight="15" x14ac:dyDescent="0.25"/>
  <cols>
    <col min="1" max="1" width="5.7109375" customWidth="1"/>
    <col min="2" max="2" width="24.28515625" customWidth="1"/>
    <col min="3" max="3" width="28.5703125" customWidth="1"/>
    <col min="4" max="4" width="6.5703125" customWidth="1"/>
    <col min="5" max="5" width="8.28515625" customWidth="1"/>
    <col min="6" max="6" width="9.85546875" customWidth="1"/>
    <col min="7" max="7" width="14.140625" bestFit="1" customWidth="1"/>
    <col min="8" max="8" width="9.7109375" customWidth="1"/>
    <col min="11" max="11" width="23.140625" customWidth="1"/>
  </cols>
  <sheetData>
    <row r="1" spans="1:17" x14ac:dyDescent="0.25">
      <c r="A1" s="203" t="s">
        <v>723</v>
      </c>
      <c r="B1" s="204"/>
      <c r="C1" s="204"/>
      <c r="D1" s="204"/>
      <c r="E1" s="204"/>
      <c r="F1" s="204"/>
      <c r="G1" s="204"/>
      <c r="H1" s="204"/>
      <c r="I1" s="204"/>
      <c r="J1" s="204"/>
      <c r="K1" s="205"/>
    </row>
    <row r="2" spans="1:17" x14ac:dyDescent="0.25">
      <c r="A2" s="206" t="s">
        <v>932</v>
      </c>
      <c r="B2" s="207"/>
      <c r="C2" s="207"/>
      <c r="D2" s="118"/>
      <c r="E2" s="57"/>
      <c r="F2" s="57"/>
      <c r="G2" s="57"/>
      <c r="H2" s="57"/>
      <c r="I2" s="201" t="s">
        <v>1073</v>
      </c>
      <c r="J2" s="201"/>
      <c r="K2" s="202"/>
    </row>
    <row r="3" spans="1:17" ht="45" x14ac:dyDescent="0.25">
      <c r="A3" s="152" t="s">
        <v>0</v>
      </c>
      <c r="B3" s="153" t="s">
        <v>618</v>
      </c>
      <c r="C3" s="153" t="s">
        <v>2</v>
      </c>
      <c r="D3" s="153" t="s">
        <v>4</v>
      </c>
      <c r="E3" s="153" t="s">
        <v>793</v>
      </c>
      <c r="F3" s="153" t="s">
        <v>619</v>
      </c>
      <c r="G3" s="153" t="s">
        <v>752</v>
      </c>
      <c r="H3" s="153" t="s">
        <v>6</v>
      </c>
      <c r="I3" s="153" t="s">
        <v>624</v>
      </c>
      <c r="J3" s="153" t="s">
        <v>8</v>
      </c>
      <c r="K3" s="153" t="s">
        <v>10</v>
      </c>
    </row>
    <row r="4" spans="1:17" ht="33.75" x14ac:dyDescent="0.25">
      <c r="A4" s="5">
        <v>1</v>
      </c>
      <c r="B4" s="165" t="s">
        <v>161</v>
      </c>
      <c r="C4" s="163" t="s">
        <v>795</v>
      </c>
      <c r="D4" s="8" t="s">
        <v>11</v>
      </c>
      <c r="E4" s="15">
        <v>1</v>
      </c>
      <c r="F4" s="20">
        <f>132000*4.5%+132000</f>
        <v>137940</v>
      </c>
      <c r="G4" s="155">
        <f>E4*F4</f>
        <v>137940</v>
      </c>
      <c r="H4" s="60" t="s">
        <v>535</v>
      </c>
      <c r="I4" s="3" t="s">
        <v>39</v>
      </c>
      <c r="J4" s="15" t="s">
        <v>40</v>
      </c>
      <c r="K4" s="7" t="s">
        <v>794</v>
      </c>
    </row>
    <row r="5" spans="1:17" ht="33.75" x14ac:dyDescent="0.25">
      <c r="A5" s="5">
        <v>2</v>
      </c>
      <c r="B5" s="165" t="s">
        <v>854</v>
      </c>
      <c r="C5" s="163" t="s">
        <v>795</v>
      </c>
      <c r="D5" s="3"/>
      <c r="E5" s="15">
        <v>1</v>
      </c>
      <c r="F5" s="20">
        <f>50000*4.5%+50000</f>
        <v>52250</v>
      </c>
      <c r="G5" s="155">
        <f t="shared" ref="G5:G44" si="0">E5*F5</f>
        <v>52250</v>
      </c>
      <c r="H5" s="60" t="s">
        <v>535</v>
      </c>
      <c r="I5" s="3" t="s">
        <v>39</v>
      </c>
      <c r="J5" s="15"/>
      <c r="K5" s="7" t="s">
        <v>129</v>
      </c>
      <c r="Q5" s="125"/>
    </row>
    <row r="6" spans="1:17" ht="33.75" x14ac:dyDescent="0.25">
      <c r="A6" s="5">
        <v>3</v>
      </c>
      <c r="B6" s="165" t="s">
        <v>14</v>
      </c>
      <c r="C6" s="163" t="s">
        <v>795</v>
      </c>
      <c r="D6" s="3"/>
      <c r="E6" s="15">
        <v>1</v>
      </c>
      <c r="F6" s="20">
        <f>350000*4.5%+350000</f>
        <v>365750</v>
      </c>
      <c r="G6" s="155">
        <f t="shared" si="0"/>
        <v>365750</v>
      </c>
      <c r="H6" s="60" t="s">
        <v>535</v>
      </c>
      <c r="I6" s="3" t="s">
        <v>39</v>
      </c>
      <c r="J6" s="15"/>
      <c r="K6" s="119" t="s">
        <v>885</v>
      </c>
    </row>
    <row r="7" spans="1:17" ht="33.75" x14ac:dyDescent="0.25">
      <c r="A7" s="5">
        <v>4</v>
      </c>
      <c r="B7" s="166" t="s">
        <v>856</v>
      </c>
      <c r="C7" s="163" t="s">
        <v>795</v>
      </c>
      <c r="D7" s="3"/>
      <c r="E7" s="15">
        <v>1</v>
      </c>
      <c r="F7" s="20">
        <f>990000*4.5%+990000</f>
        <v>1034550</v>
      </c>
      <c r="G7" s="155">
        <f t="shared" si="0"/>
        <v>1034550</v>
      </c>
      <c r="H7" s="60" t="s">
        <v>535</v>
      </c>
      <c r="I7" s="3" t="s">
        <v>39</v>
      </c>
      <c r="J7" s="15" t="s">
        <v>40</v>
      </c>
      <c r="K7" s="120" t="s">
        <v>855</v>
      </c>
    </row>
    <row r="8" spans="1:17" ht="33.75" x14ac:dyDescent="0.25">
      <c r="A8" s="5">
        <v>5</v>
      </c>
      <c r="B8" s="162" t="s">
        <v>1139</v>
      </c>
      <c r="C8" s="163" t="s">
        <v>795</v>
      </c>
      <c r="D8" s="3"/>
      <c r="E8" s="15">
        <v>1</v>
      </c>
      <c r="F8" s="20">
        <f>209000*4.5%+209000</f>
        <v>218405</v>
      </c>
      <c r="G8" s="155">
        <f t="shared" si="0"/>
        <v>218405</v>
      </c>
      <c r="H8" s="60" t="s">
        <v>535</v>
      </c>
      <c r="I8" s="3" t="s">
        <v>39</v>
      </c>
      <c r="J8" s="15" t="s">
        <v>40</v>
      </c>
      <c r="K8" s="7" t="s">
        <v>857</v>
      </c>
    </row>
    <row r="9" spans="1:17" ht="33.75" x14ac:dyDescent="0.25">
      <c r="A9" s="5">
        <v>6</v>
      </c>
      <c r="B9" s="162" t="s">
        <v>1106</v>
      </c>
      <c r="C9" s="163" t="s">
        <v>795</v>
      </c>
      <c r="D9" s="3"/>
      <c r="E9" s="15">
        <v>1</v>
      </c>
      <c r="F9" s="20">
        <f>250000*4.5%+250000</f>
        <v>261250</v>
      </c>
      <c r="G9" s="155">
        <f t="shared" si="0"/>
        <v>261250</v>
      </c>
      <c r="H9" s="60" t="s">
        <v>535</v>
      </c>
      <c r="I9" s="3" t="s">
        <v>39</v>
      </c>
      <c r="J9" s="15" t="s">
        <v>40</v>
      </c>
      <c r="K9" s="7" t="s">
        <v>858</v>
      </c>
    </row>
    <row r="10" spans="1:17" ht="33.75" x14ac:dyDescent="0.25">
      <c r="A10" s="5">
        <v>7</v>
      </c>
      <c r="B10" s="162" t="s">
        <v>1140</v>
      </c>
      <c r="C10" s="163" t="s">
        <v>795</v>
      </c>
      <c r="D10" s="3"/>
      <c r="E10" s="15">
        <v>1</v>
      </c>
      <c r="F10" s="20">
        <f>769000*4.5%+769000</f>
        <v>803605</v>
      </c>
      <c r="G10" s="155">
        <f t="shared" si="0"/>
        <v>803605</v>
      </c>
      <c r="H10" s="60" t="s">
        <v>535</v>
      </c>
      <c r="I10" s="3" t="s">
        <v>39</v>
      </c>
      <c r="J10" s="15" t="s">
        <v>40</v>
      </c>
      <c r="K10" s="7" t="s">
        <v>860</v>
      </c>
    </row>
    <row r="11" spans="1:17" ht="22.5" x14ac:dyDescent="0.25">
      <c r="A11" s="5">
        <v>8</v>
      </c>
      <c r="B11" s="162" t="s">
        <v>796</v>
      </c>
      <c r="C11" s="163" t="s">
        <v>835</v>
      </c>
      <c r="D11" s="3"/>
      <c r="E11" s="15">
        <v>1</v>
      </c>
      <c r="F11" s="20">
        <f>4606000*4.5%+4606000</f>
        <v>4813270</v>
      </c>
      <c r="G11" s="155">
        <f t="shared" si="0"/>
        <v>4813270</v>
      </c>
      <c r="H11" s="60" t="s">
        <v>535</v>
      </c>
      <c r="I11" s="3" t="s">
        <v>39</v>
      </c>
      <c r="J11" s="15" t="s">
        <v>40</v>
      </c>
      <c r="K11" s="121" t="s">
        <v>859</v>
      </c>
    </row>
    <row r="12" spans="1:17" ht="33.75" x14ac:dyDescent="0.25">
      <c r="A12" s="5">
        <v>9</v>
      </c>
      <c r="B12" s="162" t="s">
        <v>797</v>
      </c>
      <c r="C12" s="163" t="s">
        <v>795</v>
      </c>
      <c r="D12" s="3"/>
      <c r="E12" s="15">
        <v>1</v>
      </c>
      <c r="F12" s="20">
        <f>700000*4.5%+700000</f>
        <v>731500</v>
      </c>
      <c r="G12" s="155">
        <f t="shared" si="0"/>
        <v>731500</v>
      </c>
      <c r="H12" s="60" t="s">
        <v>535</v>
      </c>
      <c r="I12" s="3" t="s">
        <v>39</v>
      </c>
      <c r="J12" s="15" t="s">
        <v>40</v>
      </c>
      <c r="K12" s="121" t="s">
        <v>861</v>
      </c>
    </row>
    <row r="13" spans="1:17" ht="33.75" x14ac:dyDescent="0.25">
      <c r="A13" s="5">
        <v>10</v>
      </c>
      <c r="B13" s="162" t="s">
        <v>798</v>
      </c>
      <c r="C13" s="163" t="s">
        <v>795</v>
      </c>
      <c r="D13" s="3"/>
      <c r="E13" s="15">
        <v>1</v>
      </c>
      <c r="F13" s="20">
        <v>400000</v>
      </c>
      <c r="G13" s="155">
        <f t="shared" si="0"/>
        <v>400000</v>
      </c>
      <c r="H13" s="60" t="s">
        <v>535</v>
      </c>
      <c r="I13" s="3" t="s">
        <v>39</v>
      </c>
      <c r="J13" s="15" t="s">
        <v>40</v>
      </c>
      <c r="K13" s="121" t="s">
        <v>862</v>
      </c>
    </row>
    <row r="14" spans="1:17" ht="33.75" x14ac:dyDescent="0.25">
      <c r="A14" s="5">
        <v>11</v>
      </c>
      <c r="B14" s="162" t="s">
        <v>799</v>
      </c>
      <c r="C14" s="163" t="s">
        <v>795</v>
      </c>
      <c r="D14" s="3"/>
      <c r="E14" s="15">
        <v>1</v>
      </c>
      <c r="F14" s="20">
        <v>2350000</v>
      </c>
      <c r="G14" s="155">
        <f t="shared" si="0"/>
        <v>2350000</v>
      </c>
      <c r="H14" s="60" t="s">
        <v>535</v>
      </c>
      <c r="I14" s="3" t="s">
        <v>39</v>
      </c>
      <c r="J14" s="15" t="s">
        <v>40</v>
      </c>
      <c r="K14" s="121" t="s">
        <v>863</v>
      </c>
    </row>
    <row r="15" spans="1:17" ht="33.75" x14ac:dyDescent="0.25">
      <c r="A15" s="5">
        <v>12</v>
      </c>
      <c r="B15" s="162" t="s">
        <v>800</v>
      </c>
      <c r="C15" s="163" t="s">
        <v>795</v>
      </c>
      <c r="D15" s="3"/>
      <c r="E15" s="15">
        <v>1</v>
      </c>
      <c r="F15" s="20">
        <v>200000</v>
      </c>
      <c r="G15" s="155">
        <f t="shared" si="0"/>
        <v>200000</v>
      </c>
      <c r="H15" s="60" t="s">
        <v>535</v>
      </c>
      <c r="I15" s="3" t="s">
        <v>39</v>
      </c>
      <c r="J15" s="15" t="s">
        <v>40</v>
      </c>
      <c r="K15" s="121" t="s">
        <v>864</v>
      </c>
    </row>
    <row r="16" spans="1:17" ht="33.75" x14ac:dyDescent="0.25">
      <c r="A16" s="5">
        <v>13</v>
      </c>
      <c r="B16" s="162" t="s">
        <v>801</v>
      </c>
      <c r="C16" s="163" t="s">
        <v>795</v>
      </c>
      <c r="D16" s="3"/>
      <c r="E16" s="15">
        <v>1</v>
      </c>
      <c r="F16" s="20">
        <v>3900000</v>
      </c>
      <c r="G16" s="155">
        <f t="shared" si="0"/>
        <v>3900000</v>
      </c>
      <c r="H16" s="60" t="s">
        <v>535</v>
      </c>
      <c r="I16" s="3" t="s">
        <v>39</v>
      </c>
      <c r="J16" s="15" t="s">
        <v>40</v>
      </c>
      <c r="K16" s="121" t="s">
        <v>865</v>
      </c>
    </row>
    <row r="17" spans="1:13" ht="22.5" x14ac:dyDescent="0.25">
      <c r="A17" s="5">
        <v>14</v>
      </c>
      <c r="B17" s="162" t="s">
        <v>802</v>
      </c>
      <c r="C17" s="163" t="s">
        <v>829</v>
      </c>
      <c r="D17" s="3"/>
      <c r="E17" s="15">
        <v>1</v>
      </c>
      <c r="F17" s="20">
        <v>10000000</v>
      </c>
      <c r="G17" s="155">
        <f t="shared" si="0"/>
        <v>10000000</v>
      </c>
      <c r="H17" s="60" t="s">
        <v>535</v>
      </c>
      <c r="I17" s="3" t="s">
        <v>39</v>
      </c>
      <c r="J17" s="15" t="s">
        <v>40</v>
      </c>
      <c r="K17" s="121" t="s">
        <v>866</v>
      </c>
      <c r="M17" t="s">
        <v>12</v>
      </c>
    </row>
    <row r="18" spans="1:13" ht="33.75" x14ac:dyDescent="0.25">
      <c r="A18" s="5">
        <v>15</v>
      </c>
      <c r="B18" s="162" t="s">
        <v>803</v>
      </c>
      <c r="C18" s="163" t="s">
        <v>795</v>
      </c>
      <c r="D18" s="3"/>
      <c r="E18" s="15">
        <v>1</v>
      </c>
      <c r="F18" s="24">
        <v>11850000</v>
      </c>
      <c r="G18" s="155">
        <f t="shared" si="0"/>
        <v>11850000</v>
      </c>
      <c r="H18" s="60" t="s">
        <v>535</v>
      </c>
      <c r="I18" s="3" t="s">
        <v>39</v>
      </c>
      <c r="J18" s="15" t="s">
        <v>40</v>
      </c>
      <c r="K18" s="121" t="s">
        <v>867</v>
      </c>
    </row>
    <row r="19" spans="1:13" ht="33.75" x14ac:dyDescent="0.25">
      <c r="A19" s="5">
        <v>16</v>
      </c>
      <c r="B19" s="162" t="s">
        <v>804</v>
      </c>
      <c r="C19" s="163" t="s">
        <v>795</v>
      </c>
      <c r="D19" s="3"/>
      <c r="E19" s="15">
        <v>1</v>
      </c>
      <c r="F19" s="24">
        <v>4109000</v>
      </c>
      <c r="G19" s="155">
        <f t="shared" si="0"/>
        <v>4109000</v>
      </c>
      <c r="H19" s="60" t="s">
        <v>535</v>
      </c>
      <c r="I19" s="3" t="s">
        <v>39</v>
      </c>
      <c r="J19" s="15" t="s">
        <v>40</v>
      </c>
      <c r="K19" s="121" t="s">
        <v>868</v>
      </c>
    </row>
    <row r="20" spans="1:13" ht="33.75" x14ac:dyDescent="0.25">
      <c r="A20" s="5">
        <v>17</v>
      </c>
      <c r="B20" s="162" t="s">
        <v>805</v>
      </c>
      <c r="C20" s="163" t="s">
        <v>795</v>
      </c>
      <c r="D20" s="3"/>
      <c r="E20" s="15">
        <v>1</v>
      </c>
      <c r="F20" s="24">
        <v>119000</v>
      </c>
      <c r="G20" s="155">
        <f t="shared" si="0"/>
        <v>119000</v>
      </c>
      <c r="H20" s="60" t="s">
        <v>535</v>
      </c>
      <c r="I20" s="3" t="s">
        <v>39</v>
      </c>
      <c r="J20" s="15" t="s">
        <v>40</v>
      </c>
      <c r="K20" s="121" t="s">
        <v>869</v>
      </c>
    </row>
    <row r="21" spans="1:13" ht="33.75" x14ac:dyDescent="0.25">
      <c r="A21" s="5">
        <v>18</v>
      </c>
      <c r="B21" s="162" t="s">
        <v>806</v>
      </c>
      <c r="C21" s="163" t="s">
        <v>795</v>
      </c>
      <c r="D21" s="3"/>
      <c r="E21" s="15">
        <v>1</v>
      </c>
      <c r="F21" s="24">
        <v>1500000</v>
      </c>
      <c r="G21" s="155">
        <f t="shared" si="0"/>
        <v>1500000</v>
      </c>
      <c r="H21" s="60" t="s">
        <v>535</v>
      </c>
      <c r="I21" s="3" t="s">
        <v>39</v>
      </c>
      <c r="J21" s="15" t="s">
        <v>40</v>
      </c>
      <c r="K21" s="121" t="s">
        <v>870</v>
      </c>
    </row>
    <row r="22" spans="1:13" ht="33.75" x14ac:dyDescent="0.25">
      <c r="A22" s="5">
        <v>19</v>
      </c>
      <c r="B22" s="162" t="s">
        <v>807</v>
      </c>
      <c r="C22" s="163" t="s">
        <v>795</v>
      </c>
      <c r="D22" s="3"/>
      <c r="E22" s="15">
        <v>1</v>
      </c>
      <c r="F22" s="24">
        <v>1000000</v>
      </c>
      <c r="G22" s="155">
        <f t="shared" si="0"/>
        <v>1000000</v>
      </c>
      <c r="H22" s="60" t="s">
        <v>535</v>
      </c>
      <c r="I22" s="3" t="s">
        <v>39</v>
      </c>
      <c r="J22" s="15" t="s">
        <v>40</v>
      </c>
      <c r="K22" s="121" t="s">
        <v>871</v>
      </c>
    </row>
    <row r="23" spans="1:13" ht="22.5" x14ac:dyDescent="0.25">
      <c r="A23" s="5">
        <v>20</v>
      </c>
      <c r="B23" s="164" t="s">
        <v>808</v>
      </c>
      <c r="C23" s="163" t="s">
        <v>830</v>
      </c>
      <c r="D23" s="3"/>
      <c r="E23" s="15">
        <v>1</v>
      </c>
      <c r="F23" s="24">
        <v>1600000</v>
      </c>
      <c r="G23" s="155">
        <f t="shared" si="0"/>
        <v>1600000</v>
      </c>
      <c r="H23" s="60" t="s">
        <v>535</v>
      </c>
      <c r="I23" s="3" t="s">
        <v>39</v>
      </c>
      <c r="J23" s="15" t="s">
        <v>40</v>
      </c>
      <c r="K23" s="121" t="s">
        <v>872</v>
      </c>
    </row>
    <row r="24" spans="1:13" ht="33.75" x14ac:dyDescent="0.25">
      <c r="A24" s="5">
        <v>21</v>
      </c>
      <c r="B24" s="164" t="s">
        <v>809</v>
      </c>
      <c r="C24" s="163" t="s">
        <v>831</v>
      </c>
      <c r="D24" s="3"/>
      <c r="E24" s="15">
        <v>1</v>
      </c>
      <c r="F24" s="24">
        <v>500000</v>
      </c>
      <c r="G24" s="155">
        <f t="shared" si="0"/>
        <v>500000</v>
      </c>
      <c r="H24" s="60" t="s">
        <v>535</v>
      </c>
      <c r="I24" s="3" t="s">
        <v>39</v>
      </c>
      <c r="J24" s="15" t="s">
        <v>40</v>
      </c>
      <c r="K24" s="121" t="s">
        <v>873</v>
      </c>
    </row>
    <row r="25" spans="1:13" ht="33.75" x14ac:dyDescent="0.25">
      <c r="A25" s="5">
        <v>22</v>
      </c>
      <c r="B25" s="164" t="s">
        <v>810</v>
      </c>
      <c r="C25" s="163" t="s">
        <v>795</v>
      </c>
      <c r="D25" s="3"/>
      <c r="E25" s="15">
        <v>1</v>
      </c>
      <c r="F25" s="24">
        <v>120000</v>
      </c>
      <c r="G25" s="155">
        <f t="shared" si="0"/>
        <v>120000</v>
      </c>
      <c r="H25" s="60" t="s">
        <v>535</v>
      </c>
      <c r="I25" s="3" t="s">
        <v>39</v>
      </c>
      <c r="J25" s="15" t="s">
        <v>40</v>
      </c>
      <c r="K25" s="121" t="s">
        <v>874</v>
      </c>
    </row>
    <row r="26" spans="1:13" ht="33.75" x14ac:dyDescent="0.25">
      <c r="A26" s="5">
        <v>23</v>
      </c>
      <c r="B26" s="164" t="s">
        <v>811</v>
      </c>
      <c r="C26" s="163" t="s">
        <v>832</v>
      </c>
      <c r="D26" s="3"/>
      <c r="E26" s="15">
        <v>1</v>
      </c>
      <c r="F26" s="24">
        <v>160000</v>
      </c>
      <c r="G26" s="155">
        <f t="shared" si="0"/>
        <v>160000</v>
      </c>
      <c r="H26" s="60" t="s">
        <v>535</v>
      </c>
      <c r="I26" s="3" t="s">
        <v>39</v>
      </c>
      <c r="J26" s="15" t="s">
        <v>40</v>
      </c>
      <c r="K26" s="121" t="s">
        <v>875</v>
      </c>
    </row>
    <row r="27" spans="1:13" ht="33.75" x14ac:dyDescent="0.25">
      <c r="A27" s="5">
        <v>24</v>
      </c>
      <c r="B27" s="164" t="s">
        <v>812</v>
      </c>
      <c r="C27" s="163" t="s">
        <v>795</v>
      </c>
      <c r="D27" s="3"/>
      <c r="E27" s="15">
        <v>1</v>
      </c>
      <c r="F27" s="24">
        <v>280000</v>
      </c>
      <c r="G27" s="155">
        <f t="shared" si="0"/>
        <v>280000</v>
      </c>
      <c r="H27" s="60" t="s">
        <v>535</v>
      </c>
      <c r="I27" s="3" t="s">
        <v>39</v>
      </c>
      <c r="J27" s="15" t="s">
        <v>40</v>
      </c>
      <c r="K27" s="121" t="s">
        <v>876</v>
      </c>
    </row>
    <row r="28" spans="1:13" ht="22.5" x14ac:dyDescent="0.25">
      <c r="A28" s="5">
        <v>25</v>
      </c>
      <c r="B28" s="164" t="s">
        <v>813</v>
      </c>
      <c r="C28" s="163" t="s">
        <v>830</v>
      </c>
      <c r="D28" s="3"/>
      <c r="E28" s="15">
        <v>1</v>
      </c>
      <c r="F28" s="24">
        <v>380000</v>
      </c>
      <c r="G28" s="155">
        <f t="shared" si="0"/>
        <v>380000</v>
      </c>
      <c r="H28" s="60" t="s">
        <v>535</v>
      </c>
      <c r="I28" s="3" t="s">
        <v>39</v>
      </c>
      <c r="J28" s="15" t="s">
        <v>40</v>
      </c>
      <c r="K28" s="121" t="s">
        <v>877</v>
      </c>
    </row>
    <row r="29" spans="1:13" ht="33.75" x14ac:dyDescent="0.25">
      <c r="A29" s="5">
        <v>26</v>
      </c>
      <c r="B29" s="164" t="s">
        <v>814</v>
      </c>
      <c r="C29" s="163" t="s">
        <v>795</v>
      </c>
      <c r="D29" s="3"/>
      <c r="E29" s="15">
        <v>1</v>
      </c>
      <c r="F29" s="24">
        <v>550000</v>
      </c>
      <c r="G29" s="155">
        <f t="shared" si="0"/>
        <v>550000</v>
      </c>
      <c r="H29" s="60" t="s">
        <v>535</v>
      </c>
      <c r="I29" s="3" t="s">
        <v>39</v>
      </c>
      <c r="J29" s="15" t="s">
        <v>40</v>
      </c>
      <c r="K29" s="121" t="s">
        <v>878</v>
      </c>
    </row>
    <row r="30" spans="1:13" ht="22.5" x14ac:dyDescent="0.25">
      <c r="A30" s="5">
        <v>27</v>
      </c>
      <c r="B30" s="162" t="s">
        <v>815</v>
      </c>
      <c r="C30" s="163" t="s">
        <v>833</v>
      </c>
      <c r="D30" s="3"/>
      <c r="E30" s="15">
        <v>1</v>
      </c>
      <c r="F30" s="24">
        <v>150000</v>
      </c>
      <c r="G30" s="155">
        <f t="shared" si="0"/>
        <v>150000</v>
      </c>
      <c r="H30" s="60" t="s">
        <v>535</v>
      </c>
      <c r="I30" s="3" t="s">
        <v>39</v>
      </c>
      <c r="J30" s="15" t="s">
        <v>40</v>
      </c>
      <c r="K30" s="121" t="s">
        <v>879</v>
      </c>
    </row>
    <row r="31" spans="1:13" ht="33.75" x14ac:dyDescent="0.25">
      <c r="A31" s="5">
        <v>28</v>
      </c>
      <c r="B31" s="162" t="s">
        <v>816</v>
      </c>
      <c r="C31" s="163" t="s">
        <v>795</v>
      </c>
      <c r="D31" s="3"/>
      <c r="E31" s="15">
        <v>1</v>
      </c>
      <c r="F31" s="24">
        <v>160000</v>
      </c>
      <c r="G31" s="155">
        <f t="shared" si="0"/>
        <v>160000</v>
      </c>
      <c r="H31" s="60" t="s">
        <v>535</v>
      </c>
      <c r="I31" s="3" t="s">
        <v>39</v>
      </c>
      <c r="J31" s="15" t="s">
        <v>40</v>
      </c>
      <c r="K31" s="121" t="s">
        <v>880</v>
      </c>
    </row>
    <row r="32" spans="1:13" ht="33.75" x14ac:dyDescent="0.25">
      <c r="A32" s="5">
        <v>29</v>
      </c>
      <c r="B32" s="162" t="s">
        <v>817</v>
      </c>
      <c r="C32" s="163" t="s">
        <v>795</v>
      </c>
      <c r="D32" s="3"/>
      <c r="E32" s="15">
        <v>1</v>
      </c>
      <c r="F32" s="24">
        <v>1200000</v>
      </c>
      <c r="G32" s="155">
        <f t="shared" si="0"/>
        <v>1200000</v>
      </c>
      <c r="H32" s="60" t="s">
        <v>535</v>
      </c>
      <c r="I32" s="3" t="s">
        <v>39</v>
      </c>
      <c r="J32" s="15" t="s">
        <v>40</v>
      </c>
      <c r="K32" s="11"/>
    </row>
    <row r="33" spans="1:11" ht="33.75" x14ac:dyDescent="0.25">
      <c r="A33" s="5">
        <v>30</v>
      </c>
      <c r="B33" s="167" t="s">
        <v>818</v>
      </c>
      <c r="C33" s="163" t="s">
        <v>795</v>
      </c>
      <c r="D33" s="3"/>
      <c r="E33" s="15">
        <v>1</v>
      </c>
      <c r="F33" s="24">
        <v>42000</v>
      </c>
      <c r="G33" s="155">
        <f t="shared" si="0"/>
        <v>42000</v>
      </c>
      <c r="H33" s="60" t="s">
        <v>535</v>
      </c>
      <c r="I33" s="3" t="s">
        <v>39</v>
      </c>
      <c r="J33" s="15" t="s">
        <v>40</v>
      </c>
      <c r="K33" s="121" t="s">
        <v>881</v>
      </c>
    </row>
    <row r="34" spans="1:11" ht="33.75" x14ac:dyDescent="0.25">
      <c r="A34" s="5">
        <v>31</v>
      </c>
      <c r="B34" s="162" t="s">
        <v>152</v>
      </c>
      <c r="C34" s="163" t="s">
        <v>795</v>
      </c>
      <c r="D34" s="3"/>
      <c r="E34" s="15">
        <v>1</v>
      </c>
      <c r="F34" s="24">
        <v>550000</v>
      </c>
      <c r="G34" s="155">
        <f t="shared" si="0"/>
        <v>550000</v>
      </c>
      <c r="H34" s="60" t="s">
        <v>535</v>
      </c>
      <c r="I34" s="3" t="s">
        <v>39</v>
      </c>
      <c r="J34" s="15" t="s">
        <v>40</v>
      </c>
      <c r="K34" s="121" t="s">
        <v>882</v>
      </c>
    </row>
    <row r="35" spans="1:11" ht="33.75" x14ac:dyDescent="0.25">
      <c r="A35" s="5">
        <v>32</v>
      </c>
      <c r="B35" s="162" t="s">
        <v>819</v>
      </c>
      <c r="C35" s="163" t="s">
        <v>795</v>
      </c>
      <c r="D35" s="3"/>
      <c r="E35" s="15">
        <v>1</v>
      </c>
      <c r="F35" s="24">
        <v>150000</v>
      </c>
      <c r="G35" s="155">
        <f t="shared" si="0"/>
        <v>150000</v>
      </c>
      <c r="H35" s="60" t="s">
        <v>535</v>
      </c>
      <c r="I35" s="3" t="s">
        <v>39</v>
      </c>
      <c r="J35" s="15" t="s">
        <v>40</v>
      </c>
      <c r="K35" s="121" t="s">
        <v>883</v>
      </c>
    </row>
    <row r="36" spans="1:11" ht="33.75" x14ac:dyDescent="0.25">
      <c r="A36" s="5">
        <v>33</v>
      </c>
      <c r="B36" s="162" t="s">
        <v>820</v>
      </c>
      <c r="C36" s="163" t="s">
        <v>795</v>
      </c>
      <c r="D36" s="3"/>
      <c r="E36" s="15">
        <v>1</v>
      </c>
      <c r="F36" s="24">
        <v>1300000</v>
      </c>
      <c r="G36" s="155">
        <f t="shared" si="0"/>
        <v>1300000</v>
      </c>
      <c r="H36" s="60" t="s">
        <v>535</v>
      </c>
      <c r="I36" s="3" t="s">
        <v>39</v>
      </c>
      <c r="J36" s="15" t="s">
        <v>40</v>
      </c>
      <c r="K36" s="3" t="s">
        <v>886</v>
      </c>
    </row>
    <row r="37" spans="1:11" ht="33.75" x14ac:dyDescent="0.25">
      <c r="A37" s="5">
        <v>34</v>
      </c>
      <c r="B37" s="162" t="s">
        <v>821</v>
      </c>
      <c r="C37" s="163" t="s">
        <v>795</v>
      </c>
      <c r="D37" s="3"/>
      <c r="E37" s="15">
        <v>1</v>
      </c>
      <c r="F37" s="58">
        <v>350000</v>
      </c>
      <c r="G37" s="155">
        <f t="shared" si="0"/>
        <v>350000</v>
      </c>
      <c r="H37" s="60" t="s">
        <v>535</v>
      </c>
      <c r="I37" s="3" t="s">
        <v>39</v>
      </c>
      <c r="J37" s="15" t="s">
        <v>40</v>
      </c>
      <c r="K37" s="3" t="s">
        <v>884</v>
      </c>
    </row>
    <row r="38" spans="1:11" ht="33.75" x14ac:dyDescent="0.25">
      <c r="A38" s="5">
        <v>35</v>
      </c>
      <c r="B38" s="162" t="s">
        <v>822</v>
      </c>
      <c r="C38" s="163" t="s">
        <v>795</v>
      </c>
      <c r="D38" s="3"/>
      <c r="E38" s="15">
        <v>1</v>
      </c>
      <c r="F38" s="58">
        <v>150000</v>
      </c>
      <c r="G38" s="155">
        <f t="shared" si="0"/>
        <v>150000</v>
      </c>
      <c r="H38" s="60" t="s">
        <v>535</v>
      </c>
      <c r="I38" s="3" t="s">
        <v>39</v>
      </c>
      <c r="J38" s="15" t="s">
        <v>40</v>
      </c>
      <c r="K38" s="3" t="s">
        <v>887</v>
      </c>
    </row>
    <row r="39" spans="1:11" ht="33.75" x14ac:dyDescent="0.25">
      <c r="A39" s="5">
        <v>36</v>
      </c>
      <c r="B39" s="164" t="s">
        <v>823</v>
      </c>
      <c r="C39" s="163" t="s">
        <v>795</v>
      </c>
      <c r="D39" s="3"/>
      <c r="E39" s="15">
        <v>1</v>
      </c>
      <c r="F39" s="58">
        <v>110000</v>
      </c>
      <c r="G39" s="155">
        <f t="shared" si="0"/>
        <v>110000</v>
      </c>
      <c r="H39" s="60" t="s">
        <v>535</v>
      </c>
      <c r="I39" s="3" t="s">
        <v>39</v>
      </c>
      <c r="J39" s="15" t="s">
        <v>40</v>
      </c>
      <c r="K39" s="3" t="s">
        <v>888</v>
      </c>
    </row>
    <row r="40" spans="1:11" ht="22.5" x14ac:dyDescent="0.25">
      <c r="A40" s="5">
        <v>37</v>
      </c>
      <c r="B40" s="164" t="s">
        <v>824</v>
      </c>
      <c r="C40" s="163" t="s">
        <v>834</v>
      </c>
      <c r="D40" s="5"/>
      <c r="E40" s="17">
        <v>1</v>
      </c>
      <c r="F40" s="24">
        <v>30000</v>
      </c>
      <c r="G40" s="155">
        <f t="shared" si="0"/>
        <v>30000</v>
      </c>
      <c r="H40" s="24"/>
      <c r="I40" s="3" t="s">
        <v>39</v>
      </c>
      <c r="J40" s="15" t="s">
        <v>40</v>
      </c>
      <c r="K40" s="3" t="s">
        <v>889</v>
      </c>
    </row>
    <row r="41" spans="1:11" ht="22.5" x14ac:dyDescent="0.25">
      <c r="A41" s="5">
        <v>38</v>
      </c>
      <c r="B41" s="164" t="s">
        <v>825</v>
      </c>
      <c r="C41" s="163" t="s">
        <v>831</v>
      </c>
      <c r="D41" s="5"/>
      <c r="E41" s="14">
        <v>1</v>
      </c>
      <c r="F41" s="24">
        <v>10000</v>
      </c>
      <c r="G41" s="155">
        <f t="shared" si="0"/>
        <v>10000</v>
      </c>
      <c r="H41" s="24"/>
      <c r="I41" s="3" t="s">
        <v>39</v>
      </c>
      <c r="J41" s="15" t="s">
        <v>40</v>
      </c>
      <c r="K41" s="3" t="s">
        <v>890</v>
      </c>
    </row>
    <row r="42" spans="1:11" ht="22.5" x14ac:dyDescent="0.25">
      <c r="A42" s="5">
        <v>39</v>
      </c>
      <c r="B42" s="164" t="s">
        <v>826</v>
      </c>
      <c r="C42" s="163" t="s">
        <v>834</v>
      </c>
      <c r="D42" s="5"/>
      <c r="E42" s="14">
        <v>1</v>
      </c>
      <c r="F42" s="24">
        <v>10000</v>
      </c>
      <c r="G42" s="155">
        <f t="shared" si="0"/>
        <v>10000</v>
      </c>
      <c r="H42" s="24"/>
      <c r="I42" s="3" t="s">
        <v>39</v>
      </c>
      <c r="J42" s="15" t="s">
        <v>40</v>
      </c>
      <c r="K42" s="3" t="s">
        <v>891</v>
      </c>
    </row>
    <row r="43" spans="1:11" ht="22.5" x14ac:dyDescent="0.25">
      <c r="A43" s="5">
        <v>40</v>
      </c>
      <c r="B43" s="164" t="s">
        <v>827</v>
      </c>
      <c r="C43" s="4"/>
      <c r="D43" s="5"/>
      <c r="E43" s="14">
        <v>1</v>
      </c>
      <c r="F43" s="24">
        <v>30000</v>
      </c>
      <c r="G43" s="155">
        <f t="shared" si="0"/>
        <v>30000</v>
      </c>
      <c r="H43" s="24"/>
      <c r="I43" s="3" t="s">
        <v>39</v>
      </c>
      <c r="J43" s="15" t="s">
        <v>40</v>
      </c>
      <c r="K43" s="3" t="s">
        <v>892</v>
      </c>
    </row>
    <row r="44" spans="1:11" ht="22.5" x14ac:dyDescent="0.25">
      <c r="A44" s="5">
        <v>41</v>
      </c>
      <c r="B44" s="164" t="s">
        <v>828</v>
      </c>
      <c r="C44" s="163" t="s">
        <v>834</v>
      </c>
      <c r="D44" s="5"/>
      <c r="E44" s="14">
        <v>1</v>
      </c>
      <c r="F44" s="24">
        <v>600000</v>
      </c>
      <c r="G44" s="155">
        <f t="shared" si="0"/>
        <v>600000</v>
      </c>
      <c r="H44" s="24"/>
      <c r="I44" s="3" t="s">
        <v>39</v>
      </c>
      <c r="J44" s="15" t="s">
        <v>40</v>
      </c>
      <c r="K44" s="3" t="s">
        <v>893</v>
      </c>
    </row>
    <row r="45" spans="1:11" x14ac:dyDescent="0.25">
      <c r="A45" s="133" t="s">
        <v>12</v>
      </c>
      <c r="E45" s="105"/>
      <c r="G45" s="156" t="s">
        <v>12</v>
      </c>
    </row>
    <row r="46" spans="1:11" x14ac:dyDescent="0.25">
      <c r="A46" s="133" t="s">
        <v>12</v>
      </c>
    </row>
  </sheetData>
  <mergeCells count="3">
    <mergeCell ref="A1:K1"/>
    <mergeCell ref="I2:K2"/>
    <mergeCell ref="A2:C2"/>
  </mergeCells>
  <hyperlinks>
    <hyperlink ref="K7" r:id="rId1" display="https://articulo.mercadolibre.com.co/MCO-450378870-sony-cyber-shot-dsc-w510-121-mp-camara-fotografica-digital-_JM"/>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10" workbookViewId="0">
      <selection activeCell="G24" sqref="G24"/>
    </sheetView>
  </sheetViews>
  <sheetFormatPr baseColWidth="10" defaultRowHeight="15" x14ac:dyDescent="0.25"/>
  <cols>
    <col min="1" max="1" width="7.42578125" customWidth="1"/>
    <col min="2" max="2" width="30.42578125" customWidth="1"/>
    <col min="3" max="3" width="24.28515625" customWidth="1"/>
    <col min="4" max="4" width="8.42578125" customWidth="1"/>
    <col min="5" max="5" width="9.42578125" customWidth="1"/>
    <col min="7" max="7" width="12.5703125" bestFit="1" customWidth="1"/>
    <col min="10" max="10" width="20.7109375" customWidth="1"/>
  </cols>
  <sheetData>
    <row r="1" spans="1:15" x14ac:dyDescent="0.25">
      <c r="A1" s="203" t="s">
        <v>724</v>
      </c>
      <c r="B1" s="208"/>
      <c r="C1" s="208"/>
      <c r="D1" s="208"/>
      <c r="E1" s="208"/>
      <c r="F1" s="208"/>
      <c r="G1" s="208"/>
      <c r="H1" s="208"/>
      <c r="I1" s="208"/>
      <c r="J1" s="209"/>
    </row>
    <row r="2" spans="1:15" x14ac:dyDescent="0.25">
      <c r="A2" s="206" t="s">
        <v>933</v>
      </c>
      <c r="B2" s="207"/>
      <c r="C2" s="207"/>
      <c r="D2" s="57"/>
      <c r="E2" s="57"/>
      <c r="F2" s="57"/>
      <c r="G2" s="57"/>
      <c r="H2" s="57"/>
      <c r="I2" s="201" t="s">
        <v>1074</v>
      </c>
      <c r="J2" s="202"/>
    </row>
    <row r="3" spans="1:15" ht="33.75" x14ac:dyDescent="0.25">
      <c r="A3" s="152" t="s">
        <v>0</v>
      </c>
      <c r="B3" s="153" t="s">
        <v>618</v>
      </c>
      <c r="C3" s="153" t="s">
        <v>620</v>
      </c>
      <c r="D3" s="153" t="s">
        <v>621</v>
      </c>
      <c r="E3" s="153" t="s">
        <v>4</v>
      </c>
      <c r="F3" s="153" t="s">
        <v>1102</v>
      </c>
      <c r="G3" s="153" t="s">
        <v>6</v>
      </c>
      <c r="H3" s="153" t="s">
        <v>8</v>
      </c>
      <c r="I3" s="153" t="s">
        <v>601</v>
      </c>
      <c r="J3" s="159" t="s">
        <v>10</v>
      </c>
      <c r="K3" s="158"/>
      <c r="L3" s="157"/>
      <c r="M3" s="157"/>
      <c r="N3" s="157"/>
      <c r="O3" s="157"/>
    </row>
    <row r="4" spans="1:15" ht="33.75" x14ac:dyDescent="0.25">
      <c r="A4" s="15">
        <v>1</v>
      </c>
      <c r="B4" s="162" t="s">
        <v>836</v>
      </c>
      <c r="C4" s="163" t="s">
        <v>708</v>
      </c>
      <c r="D4" s="15">
        <v>1</v>
      </c>
      <c r="E4" s="15" t="s">
        <v>38</v>
      </c>
      <c r="F4" s="25">
        <v>720000</v>
      </c>
      <c r="G4" s="25">
        <f>D4*F4</f>
        <v>720000</v>
      </c>
      <c r="H4" s="6" t="s">
        <v>39</v>
      </c>
      <c r="I4" s="6" t="s">
        <v>40</v>
      </c>
      <c r="J4" s="121" t="s">
        <v>894</v>
      </c>
      <c r="K4" s="157"/>
      <c r="L4" s="157"/>
      <c r="M4" s="157"/>
      <c r="N4" s="157"/>
      <c r="O4" s="157"/>
    </row>
    <row r="5" spans="1:15" ht="22.5" x14ac:dyDescent="0.25">
      <c r="A5" s="15">
        <v>2</v>
      </c>
      <c r="B5" s="162" t="s">
        <v>837</v>
      </c>
      <c r="C5" s="163" t="s">
        <v>37</v>
      </c>
      <c r="D5" s="15">
        <v>1</v>
      </c>
      <c r="E5" s="15" t="s">
        <v>38</v>
      </c>
      <c r="F5" s="25">
        <v>450000</v>
      </c>
      <c r="G5" s="25">
        <f t="shared" ref="G5:G22" si="0">D5*F5</f>
        <v>450000</v>
      </c>
      <c r="H5" s="6" t="s">
        <v>39</v>
      </c>
      <c r="I5" s="6" t="s">
        <v>40</v>
      </c>
      <c r="J5" s="121" t="s">
        <v>895</v>
      </c>
      <c r="K5" s="157"/>
      <c r="L5" s="157"/>
      <c r="M5" s="157"/>
      <c r="N5" s="157"/>
      <c r="O5" s="157"/>
    </row>
    <row r="6" spans="1:15" ht="22.5" x14ac:dyDescent="0.25">
      <c r="A6" s="15">
        <v>3</v>
      </c>
      <c r="B6" s="162" t="s">
        <v>838</v>
      </c>
      <c r="C6" s="163" t="s">
        <v>708</v>
      </c>
      <c r="D6" s="15">
        <v>1</v>
      </c>
      <c r="E6" s="15" t="s">
        <v>38</v>
      </c>
      <c r="F6" s="25">
        <v>450000</v>
      </c>
      <c r="G6" s="25">
        <f t="shared" si="0"/>
        <v>450000</v>
      </c>
      <c r="H6" s="6" t="s">
        <v>39</v>
      </c>
      <c r="I6" s="6" t="s">
        <v>40</v>
      </c>
      <c r="J6" s="121" t="s">
        <v>896</v>
      </c>
      <c r="K6" s="157"/>
      <c r="L6" s="157"/>
      <c r="M6" s="157"/>
      <c r="N6" s="157"/>
      <c r="O6" s="157"/>
    </row>
    <row r="7" spans="1:15" ht="33.75" x14ac:dyDescent="0.25">
      <c r="A7" s="15">
        <v>4</v>
      </c>
      <c r="B7" s="162" t="s">
        <v>839</v>
      </c>
      <c r="C7" s="163" t="s">
        <v>708</v>
      </c>
      <c r="D7" s="15">
        <v>1</v>
      </c>
      <c r="E7" s="15" t="s">
        <v>38</v>
      </c>
      <c r="F7" s="25">
        <v>1580000</v>
      </c>
      <c r="G7" s="25">
        <f t="shared" si="0"/>
        <v>1580000</v>
      </c>
      <c r="H7" s="6" t="s">
        <v>39</v>
      </c>
      <c r="I7" s="6" t="s">
        <v>40</v>
      </c>
      <c r="J7" s="121" t="s">
        <v>897</v>
      </c>
      <c r="K7" s="157"/>
      <c r="L7" s="157"/>
      <c r="M7" s="157"/>
      <c r="N7" s="157"/>
      <c r="O7" s="157"/>
    </row>
    <row r="8" spans="1:15" ht="33.75" x14ac:dyDescent="0.25">
      <c r="A8" s="15">
        <v>5</v>
      </c>
      <c r="B8" s="162" t="s">
        <v>840</v>
      </c>
      <c r="C8" s="163" t="s">
        <v>708</v>
      </c>
      <c r="D8" s="15">
        <v>1</v>
      </c>
      <c r="E8" s="15"/>
      <c r="F8" s="25">
        <v>500000</v>
      </c>
      <c r="G8" s="25">
        <f t="shared" si="0"/>
        <v>500000</v>
      </c>
      <c r="H8" s="6"/>
      <c r="I8" s="6" t="s">
        <v>40</v>
      </c>
      <c r="J8" s="121" t="s">
        <v>898</v>
      </c>
      <c r="K8" s="157"/>
      <c r="L8" s="157"/>
      <c r="M8" s="157"/>
      <c r="N8" s="157"/>
      <c r="O8" s="157"/>
    </row>
    <row r="9" spans="1:15" ht="33.75" x14ac:dyDescent="0.25">
      <c r="A9" s="15">
        <v>6</v>
      </c>
      <c r="B9" s="162" t="s">
        <v>841</v>
      </c>
      <c r="C9" s="163" t="s">
        <v>708</v>
      </c>
      <c r="D9" s="15">
        <v>1</v>
      </c>
      <c r="E9" s="15" t="s">
        <v>38</v>
      </c>
      <c r="F9" s="25">
        <v>400000</v>
      </c>
      <c r="G9" s="25">
        <f t="shared" si="0"/>
        <v>400000</v>
      </c>
      <c r="H9" s="6" t="s">
        <v>39</v>
      </c>
      <c r="I9" s="6" t="s">
        <v>40</v>
      </c>
      <c r="J9" s="121" t="s">
        <v>899</v>
      </c>
    </row>
    <row r="10" spans="1:15" ht="33.75" x14ac:dyDescent="0.25">
      <c r="A10" s="15">
        <v>7</v>
      </c>
      <c r="B10" s="162" t="s">
        <v>41</v>
      </c>
      <c r="C10" s="163" t="s">
        <v>708</v>
      </c>
      <c r="D10" s="15">
        <v>1</v>
      </c>
      <c r="E10" s="15" t="s">
        <v>38</v>
      </c>
      <c r="F10" s="25">
        <v>350</v>
      </c>
      <c r="G10" s="25">
        <f t="shared" si="0"/>
        <v>350</v>
      </c>
      <c r="H10" s="6" t="s">
        <v>39</v>
      </c>
      <c r="I10" s="6" t="s">
        <v>40</v>
      </c>
      <c r="J10" s="121" t="s">
        <v>901</v>
      </c>
    </row>
    <row r="11" spans="1:15" ht="22.5" x14ac:dyDescent="0.25">
      <c r="A11" s="15">
        <v>8</v>
      </c>
      <c r="B11" s="162" t="s">
        <v>842</v>
      </c>
      <c r="C11" s="163" t="s">
        <v>708</v>
      </c>
      <c r="D11" s="15">
        <v>1</v>
      </c>
      <c r="E11" s="15" t="s">
        <v>38</v>
      </c>
      <c r="F11" s="25">
        <v>115000</v>
      </c>
      <c r="G11" s="25">
        <f t="shared" si="0"/>
        <v>115000</v>
      </c>
      <c r="H11" s="6" t="s">
        <v>39</v>
      </c>
      <c r="I11" s="6" t="s">
        <v>40</v>
      </c>
      <c r="J11" s="121" t="s">
        <v>900</v>
      </c>
    </row>
    <row r="12" spans="1:15" ht="22.5" x14ac:dyDescent="0.25">
      <c r="A12" s="15">
        <v>9</v>
      </c>
      <c r="B12" s="162" t="s">
        <v>843</v>
      </c>
      <c r="C12" s="163" t="s">
        <v>708</v>
      </c>
      <c r="D12" s="15">
        <v>1</v>
      </c>
      <c r="E12" s="15" t="s">
        <v>38</v>
      </c>
      <c r="F12" s="25">
        <v>780000</v>
      </c>
      <c r="G12" s="25">
        <f t="shared" si="0"/>
        <v>780000</v>
      </c>
      <c r="H12" s="6" t="s">
        <v>39</v>
      </c>
      <c r="I12" s="6" t="s">
        <v>40</v>
      </c>
      <c r="J12" s="117" t="s">
        <v>843</v>
      </c>
    </row>
    <row r="13" spans="1:15" ht="22.5" x14ac:dyDescent="0.25">
      <c r="A13" s="15">
        <v>10</v>
      </c>
      <c r="B13" s="162" t="s">
        <v>844</v>
      </c>
      <c r="C13" s="163" t="s">
        <v>708</v>
      </c>
      <c r="D13" s="15">
        <v>1</v>
      </c>
      <c r="E13" s="15" t="s">
        <v>38</v>
      </c>
      <c r="F13" s="25">
        <v>110000</v>
      </c>
      <c r="G13" s="25">
        <f t="shared" si="0"/>
        <v>110000</v>
      </c>
      <c r="H13" s="6" t="s">
        <v>39</v>
      </c>
      <c r="I13" s="6" t="s">
        <v>40</v>
      </c>
      <c r="J13" s="121" t="s">
        <v>902</v>
      </c>
    </row>
    <row r="14" spans="1:15" ht="22.5" x14ac:dyDescent="0.25">
      <c r="A14" s="15">
        <v>11</v>
      </c>
      <c r="B14" s="162" t="s">
        <v>853</v>
      </c>
      <c r="C14" s="163" t="s">
        <v>708</v>
      </c>
      <c r="D14" s="15">
        <v>1</v>
      </c>
      <c r="E14" s="15" t="s">
        <v>38</v>
      </c>
      <c r="F14" s="25">
        <v>120000</v>
      </c>
      <c r="G14" s="25">
        <f t="shared" si="0"/>
        <v>120000</v>
      </c>
      <c r="H14" s="6" t="s">
        <v>39</v>
      </c>
      <c r="I14" s="6" t="s">
        <v>40</v>
      </c>
      <c r="J14" s="121" t="s">
        <v>903</v>
      </c>
    </row>
    <row r="15" spans="1:15" ht="33.75" x14ac:dyDescent="0.25">
      <c r="A15" s="15">
        <v>12</v>
      </c>
      <c r="B15" s="162" t="s">
        <v>852</v>
      </c>
      <c r="C15" s="163" t="s">
        <v>708</v>
      </c>
      <c r="D15" s="15">
        <v>1</v>
      </c>
      <c r="E15" s="15" t="s">
        <v>38</v>
      </c>
      <c r="F15" s="25">
        <v>1130000</v>
      </c>
      <c r="G15" s="25">
        <f t="shared" si="0"/>
        <v>1130000</v>
      </c>
      <c r="H15" s="6" t="s">
        <v>39</v>
      </c>
      <c r="I15" s="6" t="s">
        <v>40</v>
      </c>
      <c r="J15" s="121" t="s">
        <v>904</v>
      </c>
    </row>
    <row r="16" spans="1:15" ht="33.75" x14ac:dyDescent="0.25">
      <c r="A16" s="15">
        <v>13</v>
      </c>
      <c r="B16" s="162" t="s">
        <v>845</v>
      </c>
      <c r="C16" s="163" t="s">
        <v>708</v>
      </c>
      <c r="D16" s="15">
        <v>1</v>
      </c>
      <c r="E16" s="15"/>
      <c r="F16" s="25">
        <v>2250000</v>
      </c>
      <c r="G16" s="25">
        <f t="shared" si="0"/>
        <v>2250000</v>
      </c>
      <c r="H16" s="6"/>
      <c r="I16" s="6" t="s">
        <v>40</v>
      </c>
      <c r="J16" s="121" t="s">
        <v>905</v>
      </c>
    </row>
    <row r="17" spans="1:13" ht="33.75" x14ac:dyDescent="0.25">
      <c r="A17" s="15">
        <v>14</v>
      </c>
      <c r="B17" s="162" t="s">
        <v>846</v>
      </c>
      <c r="C17" s="163" t="s">
        <v>708</v>
      </c>
      <c r="D17" s="15">
        <v>1</v>
      </c>
      <c r="E17" s="15" t="s">
        <v>38</v>
      </c>
      <c r="F17" s="25">
        <v>3500000</v>
      </c>
      <c r="G17" s="25">
        <f t="shared" si="0"/>
        <v>3500000</v>
      </c>
      <c r="H17" s="6" t="s">
        <v>39</v>
      </c>
      <c r="I17" s="6" t="s">
        <v>40</v>
      </c>
      <c r="J17" s="121" t="s">
        <v>906</v>
      </c>
    </row>
    <row r="18" spans="1:13" ht="22.5" x14ac:dyDescent="0.25">
      <c r="A18" s="15">
        <v>15</v>
      </c>
      <c r="B18" s="162" t="s">
        <v>847</v>
      </c>
      <c r="C18" s="163" t="s">
        <v>708</v>
      </c>
      <c r="D18" s="15">
        <v>1</v>
      </c>
      <c r="E18" s="15" t="s">
        <v>38</v>
      </c>
      <c r="F18" s="25">
        <v>4200000</v>
      </c>
      <c r="G18" s="25">
        <f t="shared" si="0"/>
        <v>4200000</v>
      </c>
      <c r="H18" s="6" t="s">
        <v>39</v>
      </c>
      <c r="I18" s="6" t="s">
        <v>40</v>
      </c>
      <c r="J18" s="121" t="s">
        <v>907</v>
      </c>
      <c r="M18" t="s">
        <v>12</v>
      </c>
    </row>
    <row r="19" spans="1:13" ht="33.75" x14ac:dyDescent="0.25">
      <c r="A19" s="15">
        <v>16</v>
      </c>
      <c r="B19" s="162" t="s">
        <v>848</v>
      </c>
      <c r="C19" s="163" t="s">
        <v>708</v>
      </c>
      <c r="D19" s="15">
        <v>1</v>
      </c>
      <c r="E19" s="15" t="s">
        <v>38</v>
      </c>
      <c r="F19" s="25">
        <v>55000</v>
      </c>
      <c r="G19" s="25">
        <f t="shared" si="0"/>
        <v>55000</v>
      </c>
      <c r="H19" s="6" t="s">
        <v>39</v>
      </c>
      <c r="I19" s="6" t="s">
        <v>40</v>
      </c>
      <c r="J19" s="121" t="s">
        <v>908</v>
      </c>
    </row>
    <row r="20" spans="1:13" ht="33.75" x14ac:dyDescent="0.25">
      <c r="A20" s="15">
        <v>17</v>
      </c>
      <c r="B20" s="162" t="s">
        <v>849</v>
      </c>
      <c r="C20" s="163" t="s">
        <v>708</v>
      </c>
      <c r="D20" s="15">
        <v>1</v>
      </c>
      <c r="E20" s="15" t="s">
        <v>38</v>
      </c>
      <c r="F20" s="25">
        <v>650000</v>
      </c>
      <c r="G20" s="25">
        <f t="shared" si="0"/>
        <v>650000</v>
      </c>
      <c r="H20" s="6" t="s">
        <v>39</v>
      </c>
      <c r="I20" s="6" t="s">
        <v>40</v>
      </c>
      <c r="J20" s="121" t="s">
        <v>909</v>
      </c>
    </row>
    <row r="21" spans="1:13" ht="33.75" x14ac:dyDescent="0.25">
      <c r="A21" s="15">
        <v>18</v>
      </c>
      <c r="B21" s="162" t="s">
        <v>850</v>
      </c>
      <c r="C21" s="163" t="s">
        <v>774</v>
      </c>
      <c r="D21" s="15">
        <v>1</v>
      </c>
      <c r="E21" s="15" t="s">
        <v>38</v>
      </c>
      <c r="F21" s="25">
        <f>50000000-8510350</f>
        <v>41489650</v>
      </c>
      <c r="G21" s="25">
        <f t="shared" si="0"/>
        <v>41489650</v>
      </c>
      <c r="H21" s="6" t="s">
        <v>39</v>
      </c>
      <c r="I21" s="6" t="s">
        <v>40</v>
      </c>
      <c r="J21" s="121" t="s">
        <v>910</v>
      </c>
    </row>
    <row r="22" spans="1:13" ht="33.75" x14ac:dyDescent="0.25">
      <c r="A22" s="15">
        <v>19</v>
      </c>
      <c r="B22" s="164" t="s">
        <v>851</v>
      </c>
      <c r="C22" s="163" t="s">
        <v>708</v>
      </c>
      <c r="D22" s="15">
        <v>1</v>
      </c>
      <c r="E22" s="15" t="s">
        <v>38</v>
      </c>
      <c r="F22" s="25">
        <v>1500000</v>
      </c>
      <c r="G22" s="25">
        <f t="shared" si="0"/>
        <v>1500000</v>
      </c>
      <c r="H22" s="6" t="s">
        <v>39</v>
      </c>
      <c r="I22" s="6" t="s">
        <v>40</v>
      </c>
      <c r="J22" s="121" t="s">
        <v>911</v>
      </c>
    </row>
    <row r="23" spans="1:13" x14ac:dyDescent="0.25">
      <c r="D23" s="134" t="s">
        <v>12</v>
      </c>
      <c r="F23" s="32" t="s">
        <v>12</v>
      </c>
      <c r="G23" s="32">
        <f>SUM(G4:G22)</f>
        <v>60000000</v>
      </c>
      <c r="J23" s="123"/>
    </row>
  </sheetData>
  <mergeCells count="3">
    <mergeCell ref="A1:J1"/>
    <mergeCell ref="A2:C2"/>
    <mergeCell ref="I2:J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28" workbookViewId="0">
      <selection activeCell="E31" sqref="E31"/>
    </sheetView>
  </sheetViews>
  <sheetFormatPr baseColWidth="10" defaultRowHeight="15" x14ac:dyDescent="0.25"/>
  <cols>
    <col min="1" max="1" width="6" customWidth="1"/>
    <col min="2" max="2" width="27.42578125" customWidth="1"/>
    <col min="3" max="3" width="14" customWidth="1"/>
    <col min="4" max="4" width="7" customWidth="1"/>
    <col min="5" max="5" width="7.7109375" customWidth="1"/>
    <col min="11" max="11" width="22.5703125" customWidth="1"/>
  </cols>
  <sheetData>
    <row r="1" spans="1:11" ht="15.75" x14ac:dyDescent="0.25">
      <c r="A1" s="210" t="s">
        <v>725</v>
      </c>
      <c r="B1" s="211"/>
      <c r="C1" s="211"/>
      <c r="D1" s="211"/>
      <c r="E1" s="211"/>
      <c r="F1" s="211"/>
      <c r="G1" s="211"/>
      <c r="H1" s="211"/>
      <c r="I1" s="211"/>
      <c r="J1" s="211"/>
      <c r="K1" s="211"/>
    </row>
    <row r="2" spans="1:11" ht="15.75" x14ac:dyDescent="0.25">
      <c r="A2" s="212" t="s">
        <v>622</v>
      </c>
      <c r="B2" s="213"/>
      <c r="C2" s="61"/>
      <c r="D2" s="61"/>
      <c r="E2" s="61"/>
      <c r="F2" s="61"/>
      <c r="G2" s="61"/>
      <c r="H2" s="213" t="s">
        <v>1075</v>
      </c>
      <c r="I2" s="213"/>
      <c r="J2" s="213"/>
      <c r="K2" s="214"/>
    </row>
    <row r="3" spans="1:11" ht="45" x14ac:dyDescent="0.25">
      <c r="A3" s="152" t="s">
        <v>0</v>
      </c>
      <c r="B3" s="153" t="s">
        <v>1</v>
      </c>
      <c r="C3" s="153" t="s">
        <v>2</v>
      </c>
      <c r="D3" s="153" t="s">
        <v>3</v>
      </c>
      <c r="E3" s="153" t="s">
        <v>4</v>
      </c>
      <c r="F3" s="153" t="s">
        <v>147</v>
      </c>
      <c r="G3" s="153" t="s">
        <v>9</v>
      </c>
      <c r="H3" s="153" t="s">
        <v>6</v>
      </c>
      <c r="I3" s="153" t="s">
        <v>7</v>
      </c>
      <c r="J3" s="153" t="s">
        <v>8</v>
      </c>
      <c r="K3" s="159" t="s">
        <v>10</v>
      </c>
    </row>
    <row r="4" spans="1:11" ht="36" x14ac:dyDescent="0.25">
      <c r="A4" s="68">
        <v>1</v>
      </c>
      <c r="B4" s="160" t="s">
        <v>538</v>
      </c>
      <c r="C4" s="36" t="s">
        <v>396</v>
      </c>
      <c r="D4" s="66">
        <v>58</v>
      </c>
      <c r="E4" s="66" t="s">
        <v>11</v>
      </c>
      <c r="F4" s="59">
        <f>2464*4.5%+2464</f>
        <v>2574.88</v>
      </c>
      <c r="G4" s="69">
        <f>D4*F4</f>
        <v>149343.04000000001</v>
      </c>
      <c r="H4" s="56" t="s">
        <v>535</v>
      </c>
      <c r="I4" s="56" t="s">
        <v>536</v>
      </c>
      <c r="J4" s="56" t="s">
        <v>40</v>
      </c>
      <c r="K4" s="28" t="s">
        <v>565</v>
      </c>
    </row>
    <row r="5" spans="1:11" ht="51" x14ac:dyDescent="0.25">
      <c r="A5" s="68">
        <v>2</v>
      </c>
      <c r="B5" s="160" t="s">
        <v>539</v>
      </c>
      <c r="C5" s="36" t="s">
        <v>396</v>
      </c>
      <c r="D5" s="66">
        <v>10</v>
      </c>
      <c r="E5" s="66" t="s">
        <v>11</v>
      </c>
      <c r="F5" s="70">
        <f>30000*4.5%+30000</f>
        <v>31350</v>
      </c>
      <c r="G5" s="69">
        <f t="shared" ref="G5:G30" si="0">D5*F5</f>
        <v>313500</v>
      </c>
      <c r="H5" s="56" t="s">
        <v>535</v>
      </c>
      <c r="I5" s="56" t="s">
        <v>536</v>
      </c>
      <c r="J5" s="56" t="s">
        <v>40</v>
      </c>
      <c r="K5" s="28" t="s">
        <v>565</v>
      </c>
    </row>
    <row r="6" spans="1:11" ht="36" x14ac:dyDescent="0.25">
      <c r="A6" s="68">
        <v>3</v>
      </c>
      <c r="B6" s="160" t="s">
        <v>540</v>
      </c>
      <c r="C6" s="36" t="s">
        <v>396</v>
      </c>
      <c r="D6" s="66">
        <v>10</v>
      </c>
      <c r="E6" s="66" t="s">
        <v>11</v>
      </c>
      <c r="F6" s="70">
        <f>22170*4.5%+22170</f>
        <v>23167.65</v>
      </c>
      <c r="G6" s="69">
        <f t="shared" si="0"/>
        <v>231676.5</v>
      </c>
      <c r="H6" s="56" t="s">
        <v>535</v>
      </c>
      <c r="I6" s="56" t="s">
        <v>536</v>
      </c>
      <c r="J6" s="56" t="s">
        <v>40</v>
      </c>
      <c r="K6" s="28" t="s">
        <v>565</v>
      </c>
    </row>
    <row r="7" spans="1:11" ht="38.25" x14ac:dyDescent="0.25">
      <c r="A7" s="68">
        <v>4</v>
      </c>
      <c r="B7" s="160" t="s">
        <v>541</v>
      </c>
      <c r="C7" s="36" t="s">
        <v>396</v>
      </c>
      <c r="D7" s="66">
        <v>10</v>
      </c>
      <c r="E7" s="66" t="s">
        <v>11</v>
      </c>
      <c r="F7" s="70">
        <f>46800*4.5%+46800</f>
        <v>48906</v>
      </c>
      <c r="G7" s="69">
        <f t="shared" si="0"/>
        <v>489060</v>
      </c>
      <c r="H7" s="56" t="s">
        <v>535</v>
      </c>
      <c r="I7" s="56" t="s">
        <v>536</v>
      </c>
      <c r="J7" s="56" t="s">
        <v>40</v>
      </c>
      <c r="K7" s="28" t="s">
        <v>565</v>
      </c>
    </row>
    <row r="8" spans="1:11" ht="36" x14ac:dyDescent="0.25">
      <c r="A8" s="68">
        <v>5</v>
      </c>
      <c r="B8" s="160" t="s">
        <v>542</v>
      </c>
      <c r="C8" s="36" t="s">
        <v>396</v>
      </c>
      <c r="D8" s="66">
        <v>15</v>
      </c>
      <c r="E8" s="66" t="s">
        <v>11</v>
      </c>
      <c r="F8" s="70">
        <f>24600*4.5%+24600</f>
        <v>25707</v>
      </c>
      <c r="G8" s="69">
        <f t="shared" si="0"/>
        <v>385605</v>
      </c>
      <c r="H8" s="56" t="s">
        <v>535</v>
      </c>
      <c r="I8" s="56" t="s">
        <v>536</v>
      </c>
      <c r="J8" s="56" t="s">
        <v>40</v>
      </c>
      <c r="K8" s="28" t="s">
        <v>565</v>
      </c>
    </row>
    <row r="9" spans="1:11" ht="36" x14ac:dyDescent="0.25">
      <c r="A9" s="68">
        <v>6</v>
      </c>
      <c r="B9" s="160" t="s">
        <v>543</v>
      </c>
      <c r="C9" s="36" t="s">
        <v>396</v>
      </c>
      <c r="D9" s="66">
        <v>10</v>
      </c>
      <c r="E9" s="66" t="s">
        <v>11</v>
      </c>
      <c r="F9" s="70">
        <f>18400*4.5%+18400</f>
        <v>19228</v>
      </c>
      <c r="G9" s="69">
        <f t="shared" si="0"/>
        <v>192280</v>
      </c>
      <c r="H9" s="56" t="s">
        <v>535</v>
      </c>
      <c r="I9" s="56" t="s">
        <v>536</v>
      </c>
      <c r="J9" s="56" t="s">
        <v>40</v>
      </c>
      <c r="K9" s="28" t="s">
        <v>565</v>
      </c>
    </row>
    <row r="10" spans="1:11" ht="36" x14ac:dyDescent="0.25">
      <c r="A10" s="68">
        <v>7</v>
      </c>
      <c r="B10" s="160" t="s">
        <v>544</v>
      </c>
      <c r="C10" s="36" t="s">
        <v>396</v>
      </c>
      <c r="D10" s="66">
        <v>10</v>
      </c>
      <c r="E10" s="66" t="s">
        <v>11</v>
      </c>
      <c r="F10" s="70">
        <f>24000*4.5%+24000</f>
        <v>25080</v>
      </c>
      <c r="G10" s="69">
        <f t="shared" si="0"/>
        <v>250800</v>
      </c>
      <c r="H10" s="56" t="s">
        <v>535</v>
      </c>
      <c r="I10" s="56" t="s">
        <v>536</v>
      </c>
      <c r="J10" s="56" t="s">
        <v>40</v>
      </c>
      <c r="K10" s="28" t="s">
        <v>565</v>
      </c>
    </row>
    <row r="11" spans="1:11" ht="38.25" x14ac:dyDescent="0.25">
      <c r="A11" s="68">
        <v>8</v>
      </c>
      <c r="B11" s="160" t="s">
        <v>545</v>
      </c>
      <c r="C11" s="36" t="s">
        <v>396</v>
      </c>
      <c r="D11" s="66">
        <v>10</v>
      </c>
      <c r="E11" s="66" t="s">
        <v>11</v>
      </c>
      <c r="F11" s="70">
        <f>24600*4.5%+24600</f>
        <v>25707</v>
      </c>
      <c r="G11" s="69">
        <f t="shared" si="0"/>
        <v>257070</v>
      </c>
      <c r="H11" s="56" t="s">
        <v>535</v>
      </c>
      <c r="I11" s="56" t="s">
        <v>536</v>
      </c>
      <c r="J11" s="56" t="s">
        <v>40</v>
      </c>
      <c r="K11" s="28" t="s">
        <v>565</v>
      </c>
    </row>
    <row r="12" spans="1:11" ht="38.25" x14ac:dyDescent="0.25">
      <c r="A12" s="68">
        <v>9</v>
      </c>
      <c r="B12" s="160" t="s">
        <v>546</v>
      </c>
      <c r="C12" s="36" t="s">
        <v>396</v>
      </c>
      <c r="D12" s="66">
        <v>10</v>
      </c>
      <c r="E12" s="66" t="s">
        <v>11</v>
      </c>
      <c r="F12" s="70">
        <f>24600*4.5%+24600</f>
        <v>25707</v>
      </c>
      <c r="G12" s="69">
        <f t="shared" si="0"/>
        <v>257070</v>
      </c>
      <c r="H12" s="56" t="s">
        <v>535</v>
      </c>
      <c r="I12" s="56" t="s">
        <v>536</v>
      </c>
      <c r="J12" s="56" t="s">
        <v>40</v>
      </c>
      <c r="K12" s="28" t="s">
        <v>565</v>
      </c>
    </row>
    <row r="13" spans="1:11" ht="36" x14ac:dyDescent="0.25">
      <c r="A13" s="68">
        <v>10</v>
      </c>
      <c r="B13" s="161" t="s">
        <v>547</v>
      </c>
      <c r="C13" s="36" t="s">
        <v>396</v>
      </c>
      <c r="D13" s="66">
        <v>10</v>
      </c>
      <c r="E13" s="66" t="s">
        <v>11</v>
      </c>
      <c r="F13" s="70">
        <f>103500*19%+103500</f>
        <v>123165</v>
      </c>
      <c r="G13" s="69">
        <f t="shared" si="0"/>
        <v>1231650</v>
      </c>
      <c r="H13" s="56" t="s">
        <v>535</v>
      </c>
      <c r="I13" s="56" t="s">
        <v>536</v>
      </c>
      <c r="J13" s="56" t="s">
        <v>40</v>
      </c>
      <c r="K13" s="28" t="s">
        <v>565</v>
      </c>
    </row>
    <row r="14" spans="1:11" ht="36" x14ac:dyDescent="0.25">
      <c r="A14" s="68">
        <v>11</v>
      </c>
      <c r="B14" s="161" t="s">
        <v>548</v>
      </c>
      <c r="C14" s="36" t="s">
        <v>396</v>
      </c>
      <c r="D14" s="66">
        <v>12</v>
      </c>
      <c r="E14" s="66" t="s">
        <v>11</v>
      </c>
      <c r="F14" s="70">
        <f>103500*19%+103500</f>
        <v>123165</v>
      </c>
      <c r="G14" s="69">
        <f t="shared" si="0"/>
        <v>1477980</v>
      </c>
      <c r="H14" s="56" t="s">
        <v>535</v>
      </c>
      <c r="I14" s="56" t="s">
        <v>536</v>
      </c>
      <c r="J14" s="56" t="s">
        <v>40</v>
      </c>
      <c r="K14" s="28" t="s">
        <v>565</v>
      </c>
    </row>
    <row r="15" spans="1:11" ht="36" x14ac:dyDescent="0.25">
      <c r="A15" s="68">
        <v>12</v>
      </c>
      <c r="B15" s="161" t="s">
        <v>549</v>
      </c>
      <c r="C15" s="36" t="s">
        <v>396</v>
      </c>
      <c r="D15" s="66">
        <v>10</v>
      </c>
      <c r="E15" s="66" t="s">
        <v>11</v>
      </c>
      <c r="F15" s="70">
        <f>72450*19%+72450</f>
        <v>86215.5</v>
      </c>
      <c r="G15" s="69">
        <f t="shared" si="0"/>
        <v>862155</v>
      </c>
      <c r="H15" s="56" t="s">
        <v>535</v>
      </c>
      <c r="I15" s="56" t="s">
        <v>536</v>
      </c>
      <c r="J15" s="56" t="s">
        <v>40</v>
      </c>
      <c r="K15" s="28" t="s">
        <v>565</v>
      </c>
    </row>
    <row r="16" spans="1:11" ht="36" x14ac:dyDescent="0.25">
      <c r="A16" s="68">
        <v>13</v>
      </c>
      <c r="B16" s="161" t="s">
        <v>550</v>
      </c>
      <c r="C16" s="36" t="s">
        <v>396</v>
      </c>
      <c r="D16" s="66">
        <v>15</v>
      </c>
      <c r="E16" s="66" t="s">
        <v>11</v>
      </c>
      <c r="F16" s="70">
        <f>72450*19%+72450</f>
        <v>86215.5</v>
      </c>
      <c r="G16" s="69">
        <f t="shared" si="0"/>
        <v>1293232.5</v>
      </c>
      <c r="H16" s="56" t="s">
        <v>535</v>
      </c>
      <c r="I16" s="56" t="s">
        <v>536</v>
      </c>
      <c r="J16" s="56" t="s">
        <v>40</v>
      </c>
      <c r="K16" s="28" t="s">
        <v>565</v>
      </c>
    </row>
    <row r="17" spans="1:11" ht="36" x14ac:dyDescent="0.25">
      <c r="A17" s="68">
        <v>14</v>
      </c>
      <c r="B17" s="161" t="s">
        <v>551</v>
      </c>
      <c r="C17" s="36" t="s">
        <v>396</v>
      </c>
      <c r="D17" s="66">
        <v>10</v>
      </c>
      <c r="E17" s="66" t="s">
        <v>11</v>
      </c>
      <c r="F17" s="70">
        <f>50000*4.5%+50000</f>
        <v>52250</v>
      </c>
      <c r="G17" s="69">
        <f t="shared" si="0"/>
        <v>522500</v>
      </c>
      <c r="H17" s="56" t="s">
        <v>535</v>
      </c>
      <c r="I17" s="56" t="s">
        <v>536</v>
      </c>
      <c r="J17" s="56" t="s">
        <v>40</v>
      </c>
      <c r="K17" s="28" t="s">
        <v>565</v>
      </c>
    </row>
    <row r="18" spans="1:11" ht="36" x14ac:dyDescent="0.25">
      <c r="A18" s="68">
        <v>15</v>
      </c>
      <c r="B18" s="161" t="s">
        <v>552</v>
      </c>
      <c r="C18" s="36" t="s">
        <v>396</v>
      </c>
      <c r="D18" s="66">
        <v>10</v>
      </c>
      <c r="E18" s="66" t="s">
        <v>11</v>
      </c>
      <c r="F18" s="70">
        <f>50000*4.5%+50000</f>
        <v>52250</v>
      </c>
      <c r="G18" s="69">
        <f t="shared" si="0"/>
        <v>522500</v>
      </c>
      <c r="H18" s="56" t="s">
        <v>535</v>
      </c>
      <c r="I18" s="56" t="s">
        <v>536</v>
      </c>
      <c r="J18" s="56" t="s">
        <v>40</v>
      </c>
      <c r="K18" s="28" t="s">
        <v>565</v>
      </c>
    </row>
    <row r="19" spans="1:11" ht="36" x14ac:dyDescent="0.25">
      <c r="A19" s="68">
        <v>16</v>
      </c>
      <c r="B19" s="161" t="s">
        <v>553</v>
      </c>
      <c r="C19" s="36" t="s">
        <v>396</v>
      </c>
      <c r="D19" s="66">
        <v>10</v>
      </c>
      <c r="E19" s="66" t="s">
        <v>11</v>
      </c>
      <c r="F19" s="70">
        <f>50000*4.5%+50000</f>
        <v>52250</v>
      </c>
      <c r="G19" s="69">
        <f t="shared" si="0"/>
        <v>522500</v>
      </c>
      <c r="H19" s="56" t="s">
        <v>535</v>
      </c>
      <c r="I19" s="56" t="s">
        <v>536</v>
      </c>
      <c r="J19" s="56" t="s">
        <v>40</v>
      </c>
      <c r="K19" s="28" t="s">
        <v>565</v>
      </c>
    </row>
    <row r="20" spans="1:11" ht="36" x14ac:dyDescent="0.25">
      <c r="A20" s="68">
        <v>17</v>
      </c>
      <c r="B20" s="161" t="s">
        <v>554</v>
      </c>
      <c r="C20" s="36" t="s">
        <v>396</v>
      </c>
      <c r="D20" s="66">
        <v>15</v>
      </c>
      <c r="E20" s="66" t="s">
        <v>11</v>
      </c>
      <c r="F20" s="70">
        <f>46575*19%+46575</f>
        <v>55424.25</v>
      </c>
      <c r="G20" s="69">
        <f t="shared" si="0"/>
        <v>831363.75</v>
      </c>
      <c r="H20" s="56" t="s">
        <v>535</v>
      </c>
      <c r="I20" s="56" t="s">
        <v>536</v>
      </c>
      <c r="J20" s="56" t="s">
        <v>40</v>
      </c>
      <c r="K20" s="28" t="s">
        <v>565</v>
      </c>
    </row>
    <row r="21" spans="1:11" ht="36" x14ac:dyDescent="0.25">
      <c r="A21" s="68">
        <v>18</v>
      </c>
      <c r="B21" s="161" t="s">
        <v>555</v>
      </c>
      <c r="C21" s="36" t="s">
        <v>396</v>
      </c>
      <c r="D21" s="66">
        <v>15</v>
      </c>
      <c r="E21" s="66" t="s">
        <v>11</v>
      </c>
      <c r="F21" s="70">
        <v>57000</v>
      </c>
      <c r="G21" s="69">
        <f t="shared" si="0"/>
        <v>855000</v>
      </c>
      <c r="H21" s="56" t="s">
        <v>535</v>
      </c>
      <c r="I21" s="56" t="s">
        <v>536</v>
      </c>
      <c r="J21" s="56" t="s">
        <v>40</v>
      </c>
      <c r="K21" s="28" t="s">
        <v>565</v>
      </c>
    </row>
    <row r="22" spans="1:11" ht="36" x14ac:dyDescent="0.25">
      <c r="A22" s="68">
        <v>19</v>
      </c>
      <c r="B22" s="161" t="s">
        <v>556</v>
      </c>
      <c r="C22" s="36" t="s">
        <v>396</v>
      </c>
      <c r="D22" s="66">
        <v>20</v>
      </c>
      <c r="E22" s="66" t="s">
        <v>11</v>
      </c>
      <c r="F22" s="70">
        <v>58000</v>
      </c>
      <c r="G22" s="69">
        <f t="shared" si="0"/>
        <v>1160000</v>
      </c>
      <c r="H22" s="56" t="s">
        <v>535</v>
      </c>
      <c r="I22" s="56" t="s">
        <v>536</v>
      </c>
      <c r="J22" s="56" t="s">
        <v>40</v>
      </c>
      <c r="K22" s="28" t="s">
        <v>565</v>
      </c>
    </row>
    <row r="23" spans="1:11" ht="36" x14ac:dyDescent="0.25">
      <c r="A23" s="68">
        <v>20</v>
      </c>
      <c r="B23" s="161" t="s">
        <v>557</v>
      </c>
      <c r="C23" s="36" t="s">
        <v>396</v>
      </c>
      <c r="D23" s="66">
        <v>10</v>
      </c>
      <c r="E23" s="66" t="s">
        <v>11</v>
      </c>
      <c r="F23" s="70">
        <v>15000</v>
      </c>
      <c r="G23" s="69">
        <f t="shared" si="0"/>
        <v>150000</v>
      </c>
      <c r="H23" s="56" t="s">
        <v>535</v>
      </c>
      <c r="I23" s="56" t="s">
        <v>536</v>
      </c>
      <c r="J23" s="56" t="s">
        <v>40</v>
      </c>
      <c r="K23" s="28" t="s">
        <v>565</v>
      </c>
    </row>
    <row r="24" spans="1:11" ht="36" x14ac:dyDescent="0.25">
      <c r="A24" s="68">
        <v>21</v>
      </c>
      <c r="B24" s="161" t="s">
        <v>558</v>
      </c>
      <c r="C24" s="36" t="s">
        <v>396</v>
      </c>
      <c r="D24" s="66">
        <v>10</v>
      </c>
      <c r="E24" s="66" t="s">
        <v>11</v>
      </c>
      <c r="F24" s="70">
        <v>50000</v>
      </c>
      <c r="G24" s="69">
        <f t="shared" si="0"/>
        <v>500000</v>
      </c>
      <c r="H24" s="56" t="s">
        <v>535</v>
      </c>
      <c r="I24" s="56" t="s">
        <v>536</v>
      </c>
      <c r="J24" s="56" t="s">
        <v>40</v>
      </c>
      <c r="K24" s="28" t="s">
        <v>565</v>
      </c>
    </row>
    <row r="25" spans="1:11" ht="36" x14ac:dyDescent="0.25">
      <c r="A25" s="68">
        <v>22</v>
      </c>
      <c r="B25" s="161" t="s">
        <v>559</v>
      </c>
      <c r="C25" s="36" t="s">
        <v>396</v>
      </c>
      <c r="D25" s="66">
        <v>20</v>
      </c>
      <c r="E25" s="66" t="s">
        <v>11</v>
      </c>
      <c r="F25" s="70">
        <v>15000</v>
      </c>
      <c r="G25" s="69">
        <f t="shared" si="0"/>
        <v>300000</v>
      </c>
      <c r="H25" s="56" t="s">
        <v>535</v>
      </c>
      <c r="I25" s="56" t="s">
        <v>536</v>
      </c>
      <c r="J25" s="56" t="s">
        <v>40</v>
      </c>
      <c r="K25" s="28" t="s">
        <v>565</v>
      </c>
    </row>
    <row r="26" spans="1:11" ht="36" x14ac:dyDescent="0.25">
      <c r="A26" s="68">
        <v>23</v>
      </c>
      <c r="B26" s="161" t="s">
        <v>560</v>
      </c>
      <c r="C26" s="36" t="s">
        <v>396</v>
      </c>
      <c r="D26" s="66">
        <v>15</v>
      </c>
      <c r="E26" s="66" t="s">
        <v>11</v>
      </c>
      <c r="F26" s="70">
        <v>30000</v>
      </c>
      <c r="G26" s="69">
        <f t="shared" si="0"/>
        <v>450000</v>
      </c>
      <c r="H26" s="56" t="s">
        <v>535</v>
      </c>
      <c r="I26" s="56" t="s">
        <v>536</v>
      </c>
      <c r="J26" s="56" t="s">
        <v>40</v>
      </c>
      <c r="K26" s="28" t="s">
        <v>565</v>
      </c>
    </row>
    <row r="27" spans="1:11" ht="36" x14ac:dyDescent="0.25">
      <c r="A27" s="68">
        <v>24</v>
      </c>
      <c r="B27" s="161" t="s">
        <v>561</v>
      </c>
      <c r="C27" s="36" t="s">
        <v>396</v>
      </c>
      <c r="D27" s="66">
        <v>10</v>
      </c>
      <c r="E27" s="66" t="s">
        <v>11</v>
      </c>
      <c r="F27" s="70">
        <v>120000</v>
      </c>
      <c r="G27" s="69">
        <f t="shared" si="0"/>
        <v>1200000</v>
      </c>
      <c r="H27" s="56" t="s">
        <v>535</v>
      </c>
      <c r="I27" s="56" t="s">
        <v>536</v>
      </c>
      <c r="J27" s="56" t="s">
        <v>40</v>
      </c>
      <c r="K27" s="28" t="s">
        <v>565</v>
      </c>
    </row>
    <row r="28" spans="1:11" ht="45" x14ac:dyDescent="0.25">
      <c r="A28" s="68">
        <v>25</v>
      </c>
      <c r="B28" s="161" t="s">
        <v>562</v>
      </c>
      <c r="C28" s="36" t="s">
        <v>396</v>
      </c>
      <c r="D28" s="66">
        <v>10</v>
      </c>
      <c r="E28" s="66" t="s">
        <v>11</v>
      </c>
      <c r="F28" s="70">
        <v>30000</v>
      </c>
      <c r="G28" s="69">
        <f t="shared" si="0"/>
        <v>300000</v>
      </c>
      <c r="H28" s="56" t="s">
        <v>535</v>
      </c>
      <c r="I28" s="56" t="s">
        <v>536</v>
      </c>
      <c r="J28" s="56" t="s">
        <v>40</v>
      </c>
      <c r="K28" s="28" t="s">
        <v>565</v>
      </c>
    </row>
    <row r="29" spans="1:11" ht="45" x14ac:dyDescent="0.25">
      <c r="A29" s="68">
        <v>26</v>
      </c>
      <c r="B29" s="161" t="s">
        <v>563</v>
      </c>
      <c r="C29" s="36" t="s">
        <v>396</v>
      </c>
      <c r="D29" s="66">
        <v>20</v>
      </c>
      <c r="E29" s="66" t="s">
        <v>11</v>
      </c>
      <c r="F29" s="70">
        <v>18000</v>
      </c>
      <c r="G29" s="69">
        <f t="shared" si="0"/>
        <v>360000</v>
      </c>
      <c r="H29" s="56" t="s">
        <v>535</v>
      </c>
      <c r="I29" s="56" t="s">
        <v>536</v>
      </c>
      <c r="J29" s="56" t="s">
        <v>40</v>
      </c>
      <c r="K29" s="28" t="s">
        <v>565</v>
      </c>
    </row>
    <row r="30" spans="1:11" ht="36" x14ac:dyDescent="0.25">
      <c r="A30" s="68">
        <v>27</v>
      </c>
      <c r="B30" s="161" t="s">
        <v>564</v>
      </c>
      <c r="C30" s="36" t="s">
        <v>396</v>
      </c>
      <c r="D30" s="66">
        <v>20</v>
      </c>
      <c r="E30" s="66" t="s">
        <v>11</v>
      </c>
      <c r="F30" s="70">
        <v>15000</v>
      </c>
      <c r="G30" s="69">
        <f t="shared" si="0"/>
        <v>300000</v>
      </c>
      <c r="H30" s="56" t="s">
        <v>535</v>
      </c>
      <c r="I30" s="56" t="s">
        <v>536</v>
      </c>
      <c r="J30" s="56" t="s">
        <v>40</v>
      </c>
      <c r="K30" s="28" t="s">
        <v>565</v>
      </c>
    </row>
    <row r="31" spans="1:11" x14ac:dyDescent="0.25">
      <c r="A31" s="10"/>
      <c r="B31" s="10"/>
      <c r="C31" s="10"/>
      <c r="D31" s="10"/>
      <c r="E31" s="10"/>
      <c r="F31" s="10"/>
      <c r="G31" s="109">
        <f>SUM(G4:G30)</f>
        <v>15365285.789999999</v>
      </c>
      <c r="H31" s="10"/>
      <c r="I31" s="10"/>
      <c r="J31" s="10"/>
      <c r="K31" s="10"/>
    </row>
    <row r="32" spans="1:11" x14ac:dyDescent="0.25">
      <c r="D32" s="259"/>
    </row>
    <row r="35" spans="8:8" x14ac:dyDescent="0.25">
      <c r="H35" s="109"/>
    </row>
    <row r="36" spans="8:8" x14ac:dyDescent="0.25">
      <c r="H36" s="32"/>
    </row>
  </sheetData>
  <mergeCells count="3">
    <mergeCell ref="A1:K1"/>
    <mergeCell ref="A2:B2"/>
    <mergeCell ref="H2:K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opLeftCell="A109" workbookViewId="0">
      <selection activeCell="K126" sqref="K126"/>
    </sheetView>
  </sheetViews>
  <sheetFormatPr baseColWidth="10" defaultRowHeight="15" x14ac:dyDescent="0.25"/>
  <cols>
    <col min="1" max="1" width="6.140625" customWidth="1"/>
    <col min="2" max="2" width="29.7109375" customWidth="1"/>
    <col min="3" max="3" width="15.140625" customWidth="1"/>
    <col min="4" max="4" width="6.85546875" customWidth="1"/>
    <col min="5" max="5" width="9" customWidth="1"/>
    <col min="6" max="6" width="9.85546875" customWidth="1"/>
    <col min="7" max="7" width="11.5703125" bestFit="1" customWidth="1"/>
    <col min="8" max="8" width="10" customWidth="1"/>
    <col min="11" max="11" width="22.28515625" customWidth="1"/>
  </cols>
  <sheetData>
    <row r="1" spans="1:12" ht="15.75" x14ac:dyDescent="0.25">
      <c r="A1" s="187" t="s">
        <v>726</v>
      </c>
      <c r="B1" s="189"/>
      <c r="C1" s="189"/>
      <c r="D1" s="189"/>
      <c r="E1" s="189"/>
      <c r="F1" s="189"/>
      <c r="G1" s="189"/>
      <c r="H1" s="189"/>
      <c r="I1" s="189"/>
      <c r="J1" s="189"/>
      <c r="K1" s="215"/>
    </row>
    <row r="2" spans="1:12" ht="15.75" x14ac:dyDescent="0.25">
      <c r="A2" s="216" t="s">
        <v>623</v>
      </c>
      <c r="B2" s="217"/>
      <c r="C2" s="217"/>
      <c r="D2" s="217"/>
      <c r="E2" s="62"/>
      <c r="F2" s="62"/>
      <c r="G2" s="62"/>
      <c r="H2" s="218" t="s">
        <v>1077</v>
      </c>
      <c r="I2" s="218"/>
      <c r="J2" s="218"/>
      <c r="K2" s="219"/>
    </row>
    <row r="3" spans="1:12" ht="33.75" x14ac:dyDescent="0.25">
      <c r="A3" s="152" t="s">
        <v>0</v>
      </c>
      <c r="B3" s="153" t="s">
        <v>618</v>
      </c>
      <c r="C3" s="153" t="s">
        <v>2</v>
      </c>
      <c r="D3" s="153" t="s">
        <v>621</v>
      </c>
      <c r="E3" s="153" t="s">
        <v>4</v>
      </c>
      <c r="F3" s="153" t="s">
        <v>619</v>
      </c>
      <c r="G3" s="153" t="s">
        <v>1076</v>
      </c>
      <c r="H3" s="153" t="s">
        <v>625</v>
      </c>
      <c r="I3" s="153" t="s">
        <v>624</v>
      </c>
      <c r="J3" s="159" t="s">
        <v>8</v>
      </c>
      <c r="K3" s="159" t="s">
        <v>10</v>
      </c>
    </row>
    <row r="4" spans="1:12" ht="24" x14ac:dyDescent="0.25">
      <c r="A4" s="66">
        <v>1</v>
      </c>
      <c r="B4" s="71" t="s">
        <v>164</v>
      </c>
      <c r="C4" s="28" t="s">
        <v>396</v>
      </c>
      <c r="D4" s="75">
        <v>1</v>
      </c>
      <c r="E4" s="75" t="s">
        <v>11</v>
      </c>
      <c r="F4" s="77">
        <f>15000*3.5%+15000</f>
        <v>15525</v>
      </c>
      <c r="G4" s="59">
        <f t="shared" ref="G4:G68" si="0">D4*F4</f>
        <v>15525</v>
      </c>
      <c r="H4" s="28" t="s">
        <v>416</v>
      </c>
      <c r="I4" s="28" t="s">
        <v>417</v>
      </c>
      <c r="J4" s="28" t="s">
        <v>40</v>
      </c>
      <c r="K4" s="28" t="s">
        <v>418</v>
      </c>
    </row>
    <row r="5" spans="1:12" ht="24" x14ac:dyDescent="0.25">
      <c r="A5" s="73">
        <v>2</v>
      </c>
      <c r="B5" s="37" t="s">
        <v>422</v>
      </c>
      <c r="C5" s="28" t="s">
        <v>396</v>
      </c>
      <c r="D5" s="56">
        <v>1</v>
      </c>
      <c r="E5" s="75" t="s">
        <v>11</v>
      </c>
      <c r="F5" s="78">
        <f>170000*3.5%+170000</f>
        <v>175950</v>
      </c>
      <c r="G5" s="59">
        <f t="shared" si="0"/>
        <v>175950</v>
      </c>
      <c r="H5" s="28" t="s">
        <v>416</v>
      </c>
      <c r="I5" s="28" t="s">
        <v>39</v>
      </c>
      <c r="J5" s="28" t="s">
        <v>40</v>
      </c>
      <c r="K5" s="28" t="s">
        <v>533</v>
      </c>
    </row>
    <row r="6" spans="1:12" ht="24" x14ac:dyDescent="0.25">
      <c r="A6" s="74">
        <v>3</v>
      </c>
      <c r="B6" s="37" t="s">
        <v>423</v>
      </c>
      <c r="C6" s="28" t="s">
        <v>396</v>
      </c>
      <c r="D6" s="56">
        <v>1</v>
      </c>
      <c r="E6" s="75" t="s">
        <v>11</v>
      </c>
      <c r="F6" s="78">
        <f>9000*3.5%+9000</f>
        <v>9315</v>
      </c>
      <c r="G6" s="59">
        <f t="shared" si="0"/>
        <v>9315</v>
      </c>
      <c r="H6" s="28" t="s">
        <v>416</v>
      </c>
      <c r="I6" s="28" t="s">
        <v>39</v>
      </c>
      <c r="J6" s="28" t="s">
        <v>40</v>
      </c>
      <c r="K6" s="28" t="s">
        <v>533</v>
      </c>
    </row>
    <row r="7" spans="1:12" ht="24" x14ac:dyDescent="0.25">
      <c r="A7" s="74">
        <v>4</v>
      </c>
      <c r="B7" s="37" t="s">
        <v>424</v>
      </c>
      <c r="C7" s="28" t="s">
        <v>396</v>
      </c>
      <c r="D7" s="56">
        <v>1</v>
      </c>
      <c r="E7" s="75" t="s">
        <v>11</v>
      </c>
      <c r="F7" s="78">
        <f>9000*3.5%+9000</f>
        <v>9315</v>
      </c>
      <c r="G7" s="59">
        <f t="shared" si="0"/>
        <v>9315</v>
      </c>
      <c r="H7" s="28" t="s">
        <v>416</v>
      </c>
      <c r="I7" s="28" t="s">
        <v>39</v>
      </c>
      <c r="J7" s="28" t="s">
        <v>40</v>
      </c>
      <c r="K7" s="28" t="s">
        <v>533</v>
      </c>
      <c r="L7" s="176" t="s">
        <v>12</v>
      </c>
    </row>
    <row r="8" spans="1:12" ht="24" x14ac:dyDescent="0.25">
      <c r="A8" s="73">
        <v>5</v>
      </c>
      <c r="B8" s="37" t="s">
        <v>425</v>
      </c>
      <c r="C8" s="28" t="s">
        <v>396</v>
      </c>
      <c r="D8" s="56">
        <v>1</v>
      </c>
      <c r="E8" s="75" t="s">
        <v>11</v>
      </c>
      <c r="F8" s="78">
        <f>485000*3.5%+485000</f>
        <v>501975</v>
      </c>
      <c r="G8" s="59">
        <f t="shared" si="0"/>
        <v>501975</v>
      </c>
      <c r="H8" s="28" t="s">
        <v>416</v>
      </c>
      <c r="I8" s="28" t="s">
        <v>39</v>
      </c>
      <c r="J8" s="28" t="s">
        <v>40</v>
      </c>
      <c r="K8" s="28" t="s">
        <v>533</v>
      </c>
    </row>
    <row r="9" spans="1:12" ht="24" x14ac:dyDescent="0.25">
      <c r="A9" s="74">
        <v>6</v>
      </c>
      <c r="B9" s="37" t="s">
        <v>426</v>
      </c>
      <c r="C9" s="28" t="s">
        <v>396</v>
      </c>
      <c r="D9" s="56">
        <v>1</v>
      </c>
      <c r="E9" s="75" t="s">
        <v>11</v>
      </c>
      <c r="F9" s="78">
        <f>20000*3.5%+20000</f>
        <v>20700</v>
      </c>
      <c r="G9" s="59">
        <f t="shared" si="0"/>
        <v>20700</v>
      </c>
      <c r="H9" s="28" t="s">
        <v>416</v>
      </c>
      <c r="I9" s="28" t="s">
        <v>39</v>
      </c>
      <c r="J9" s="28" t="s">
        <v>40</v>
      </c>
      <c r="K9" s="28" t="s">
        <v>533</v>
      </c>
    </row>
    <row r="10" spans="1:12" ht="24" x14ac:dyDescent="0.25">
      <c r="A10" s="74">
        <v>7</v>
      </c>
      <c r="B10" s="37" t="s">
        <v>427</v>
      </c>
      <c r="C10" s="28" t="s">
        <v>396</v>
      </c>
      <c r="D10" s="56">
        <v>1</v>
      </c>
      <c r="E10" s="76" t="s">
        <v>11</v>
      </c>
      <c r="F10" s="78">
        <f>39000*3.5%+39000</f>
        <v>40365</v>
      </c>
      <c r="G10" s="59">
        <f t="shared" si="0"/>
        <v>40365</v>
      </c>
      <c r="H10" s="28" t="s">
        <v>416</v>
      </c>
      <c r="I10" s="28" t="s">
        <v>39</v>
      </c>
      <c r="J10" s="28" t="s">
        <v>40</v>
      </c>
      <c r="K10" s="28" t="s">
        <v>533</v>
      </c>
    </row>
    <row r="11" spans="1:12" ht="24" x14ac:dyDescent="0.25">
      <c r="A11" s="73">
        <v>8</v>
      </c>
      <c r="B11" s="37" t="s">
        <v>428</v>
      </c>
      <c r="C11" s="28" t="s">
        <v>396</v>
      </c>
      <c r="D11" s="56">
        <v>1</v>
      </c>
      <c r="E11" s="76" t="s">
        <v>11</v>
      </c>
      <c r="F11" s="78">
        <f>49000*3.5%+49000</f>
        <v>50715</v>
      </c>
      <c r="G11" s="59">
        <f t="shared" si="0"/>
        <v>50715</v>
      </c>
      <c r="H11" s="28" t="s">
        <v>416</v>
      </c>
      <c r="I11" s="28" t="s">
        <v>39</v>
      </c>
      <c r="J11" s="28" t="s">
        <v>40</v>
      </c>
      <c r="K11" s="28" t="s">
        <v>533</v>
      </c>
    </row>
    <row r="12" spans="1:12" ht="24" x14ac:dyDescent="0.25">
      <c r="A12" s="74">
        <v>9</v>
      </c>
      <c r="B12" s="50" t="s">
        <v>429</v>
      </c>
      <c r="C12" s="28" t="s">
        <v>396</v>
      </c>
      <c r="D12" s="56">
        <v>1</v>
      </c>
      <c r="E12" s="76" t="s">
        <v>11</v>
      </c>
      <c r="F12" s="78">
        <f>35000*3.5%+35000</f>
        <v>36225</v>
      </c>
      <c r="G12" s="59">
        <f t="shared" si="0"/>
        <v>36225</v>
      </c>
      <c r="H12" s="28" t="s">
        <v>416</v>
      </c>
      <c r="I12" s="28" t="s">
        <v>39</v>
      </c>
      <c r="J12" s="28" t="s">
        <v>40</v>
      </c>
      <c r="K12" s="28" t="s">
        <v>533</v>
      </c>
    </row>
    <row r="13" spans="1:12" ht="24" x14ac:dyDescent="0.25">
      <c r="A13" s="74">
        <v>10</v>
      </c>
      <c r="B13" s="37" t="s">
        <v>430</v>
      </c>
      <c r="C13" s="28" t="s">
        <v>396</v>
      </c>
      <c r="D13" s="56">
        <v>1</v>
      </c>
      <c r="E13" s="76" t="s">
        <v>11</v>
      </c>
      <c r="F13" s="78">
        <f>45000*3.5%+45000</f>
        <v>46575</v>
      </c>
      <c r="G13" s="59">
        <f t="shared" si="0"/>
        <v>46575</v>
      </c>
      <c r="H13" s="28" t="s">
        <v>416</v>
      </c>
      <c r="I13" s="28" t="s">
        <v>39</v>
      </c>
      <c r="J13" s="28" t="s">
        <v>40</v>
      </c>
      <c r="K13" s="28" t="s">
        <v>533</v>
      </c>
    </row>
    <row r="14" spans="1:12" ht="24" x14ac:dyDescent="0.25">
      <c r="A14" s="73">
        <v>11</v>
      </c>
      <c r="B14" s="37" t="s">
        <v>431</v>
      </c>
      <c r="C14" s="28" t="s">
        <v>396</v>
      </c>
      <c r="D14" s="56">
        <v>1</v>
      </c>
      <c r="E14" s="76" t="s">
        <v>11</v>
      </c>
      <c r="F14" s="78">
        <f>4000*3.5%+4000</f>
        <v>4140</v>
      </c>
      <c r="G14" s="59">
        <f t="shared" si="0"/>
        <v>4140</v>
      </c>
      <c r="H14" s="28" t="s">
        <v>416</v>
      </c>
      <c r="I14" s="28" t="s">
        <v>39</v>
      </c>
      <c r="J14" s="28" t="s">
        <v>40</v>
      </c>
      <c r="K14" s="28" t="s">
        <v>533</v>
      </c>
    </row>
    <row r="15" spans="1:12" ht="24" x14ac:dyDescent="0.25">
      <c r="A15" s="74">
        <v>12</v>
      </c>
      <c r="B15" s="37" t="s">
        <v>432</v>
      </c>
      <c r="C15" s="28" t="s">
        <v>396</v>
      </c>
      <c r="D15" s="56">
        <v>1</v>
      </c>
      <c r="E15" s="76" t="s">
        <v>11</v>
      </c>
      <c r="F15" s="78">
        <f>7000*3.5%+7000</f>
        <v>7245</v>
      </c>
      <c r="G15" s="59">
        <f t="shared" si="0"/>
        <v>7245</v>
      </c>
      <c r="H15" s="28" t="s">
        <v>416</v>
      </c>
      <c r="I15" s="28" t="s">
        <v>39</v>
      </c>
      <c r="J15" s="28" t="s">
        <v>40</v>
      </c>
      <c r="K15" s="28" t="s">
        <v>533</v>
      </c>
    </row>
    <row r="16" spans="1:12" ht="24" x14ac:dyDescent="0.25">
      <c r="A16" s="74">
        <v>13</v>
      </c>
      <c r="B16" s="37" t="s">
        <v>433</v>
      </c>
      <c r="C16" s="28" t="s">
        <v>396</v>
      </c>
      <c r="D16" s="56">
        <v>1</v>
      </c>
      <c r="E16" s="76" t="s">
        <v>11</v>
      </c>
      <c r="F16" s="78">
        <f>9000*3.5%+9000</f>
        <v>9315</v>
      </c>
      <c r="G16" s="59">
        <f t="shared" si="0"/>
        <v>9315</v>
      </c>
      <c r="H16" s="28" t="s">
        <v>416</v>
      </c>
      <c r="I16" s="28" t="s">
        <v>39</v>
      </c>
      <c r="J16" s="28" t="s">
        <v>40</v>
      </c>
      <c r="K16" s="28" t="s">
        <v>533</v>
      </c>
    </row>
    <row r="17" spans="1:11" ht="24" x14ac:dyDescent="0.25">
      <c r="A17" s="73">
        <v>14</v>
      </c>
      <c r="B17" s="37" t="s">
        <v>434</v>
      </c>
      <c r="C17" s="28" t="s">
        <v>396</v>
      </c>
      <c r="D17" s="56">
        <v>1</v>
      </c>
      <c r="E17" s="76" t="s">
        <v>11</v>
      </c>
      <c r="F17" s="78">
        <f>18000*3.5%+18000</f>
        <v>18630</v>
      </c>
      <c r="G17" s="59">
        <f t="shared" si="0"/>
        <v>18630</v>
      </c>
      <c r="H17" s="28" t="s">
        <v>416</v>
      </c>
      <c r="I17" s="28" t="s">
        <v>39</v>
      </c>
      <c r="J17" s="28" t="s">
        <v>40</v>
      </c>
      <c r="K17" s="28" t="s">
        <v>533</v>
      </c>
    </row>
    <row r="18" spans="1:11" ht="24" x14ac:dyDescent="0.25">
      <c r="A18" s="74">
        <v>15</v>
      </c>
      <c r="B18" s="37" t="s">
        <v>435</v>
      </c>
      <c r="C18" s="28" t="s">
        <v>396</v>
      </c>
      <c r="D18" s="56">
        <v>1</v>
      </c>
      <c r="E18" s="76" t="s">
        <v>11</v>
      </c>
      <c r="F18" s="78">
        <f>17000*3.5%+17000</f>
        <v>17595</v>
      </c>
      <c r="G18" s="59">
        <f t="shared" si="0"/>
        <v>17595</v>
      </c>
      <c r="H18" s="28" t="s">
        <v>416</v>
      </c>
      <c r="I18" s="28" t="s">
        <v>39</v>
      </c>
      <c r="J18" s="28" t="s">
        <v>40</v>
      </c>
      <c r="K18" s="28" t="s">
        <v>533</v>
      </c>
    </row>
    <row r="19" spans="1:11" ht="24" x14ac:dyDescent="0.25">
      <c r="A19" s="74">
        <v>16</v>
      </c>
      <c r="B19" s="37" t="s">
        <v>436</v>
      </c>
      <c r="C19" s="28" t="s">
        <v>396</v>
      </c>
      <c r="D19" s="56">
        <v>1</v>
      </c>
      <c r="E19" s="76" t="s">
        <v>11</v>
      </c>
      <c r="F19" s="78">
        <f>30000*3.5%+30000</f>
        <v>31050</v>
      </c>
      <c r="G19" s="59">
        <f t="shared" si="0"/>
        <v>31050</v>
      </c>
      <c r="H19" s="28" t="s">
        <v>416</v>
      </c>
      <c r="I19" s="28" t="s">
        <v>39</v>
      </c>
      <c r="J19" s="28" t="s">
        <v>40</v>
      </c>
      <c r="K19" s="28" t="s">
        <v>533</v>
      </c>
    </row>
    <row r="20" spans="1:11" ht="24" x14ac:dyDescent="0.25">
      <c r="A20" s="73">
        <v>17</v>
      </c>
      <c r="B20" s="37" t="s">
        <v>437</v>
      </c>
      <c r="C20" s="28" t="s">
        <v>396</v>
      </c>
      <c r="D20" s="56">
        <v>1</v>
      </c>
      <c r="E20" s="76" t="s">
        <v>11</v>
      </c>
      <c r="F20" s="79">
        <f>15000*3.5%+15000</f>
        <v>15525</v>
      </c>
      <c r="G20" s="59">
        <f t="shared" si="0"/>
        <v>15525</v>
      </c>
      <c r="H20" s="28" t="s">
        <v>416</v>
      </c>
      <c r="I20" s="28" t="s">
        <v>39</v>
      </c>
      <c r="J20" s="28" t="s">
        <v>40</v>
      </c>
      <c r="K20" s="28" t="s">
        <v>533</v>
      </c>
    </row>
    <row r="21" spans="1:11" ht="24" x14ac:dyDescent="0.25">
      <c r="A21" s="74">
        <v>18</v>
      </c>
      <c r="B21" s="50" t="s">
        <v>438</v>
      </c>
      <c r="C21" s="28" t="s">
        <v>396</v>
      </c>
      <c r="D21" s="56">
        <v>1</v>
      </c>
      <c r="E21" s="76" t="s">
        <v>11</v>
      </c>
      <c r="F21" s="78">
        <f>1900*3.5%+1900</f>
        <v>1966.5</v>
      </c>
      <c r="G21" s="59">
        <f t="shared" si="0"/>
        <v>1966.5</v>
      </c>
      <c r="H21" s="28" t="s">
        <v>416</v>
      </c>
      <c r="I21" s="28" t="s">
        <v>39</v>
      </c>
      <c r="J21" s="28" t="s">
        <v>40</v>
      </c>
      <c r="K21" s="28" t="s">
        <v>533</v>
      </c>
    </row>
    <row r="22" spans="1:11" ht="24" x14ac:dyDescent="0.25">
      <c r="A22" s="74">
        <v>19</v>
      </c>
      <c r="B22" s="37" t="s">
        <v>439</v>
      </c>
      <c r="C22" s="28" t="s">
        <v>396</v>
      </c>
      <c r="D22" s="56">
        <v>1</v>
      </c>
      <c r="E22" s="76" t="s">
        <v>11</v>
      </c>
      <c r="F22" s="78">
        <f>8000*3.5%+8000</f>
        <v>8280</v>
      </c>
      <c r="G22" s="59">
        <f t="shared" si="0"/>
        <v>8280</v>
      </c>
      <c r="H22" s="28" t="s">
        <v>416</v>
      </c>
      <c r="I22" s="28" t="s">
        <v>39</v>
      </c>
      <c r="J22" s="28" t="s">
        <v>40</v>
      </c>
      <c r="K22" s="28" t="s">
        <v>533</v>
      </c>
    </row>
    <row r="23" spans="1:11" ht="24" x14ac:dyDescent="0.25">
      <c r="A23" s="73">
        <v>20</v>
      </c>
      <c r="B23" s="37" t="s">
        <v>440</v>
      </c>
      <c r="C23" s="28" t="s">
        <v>396</v>
      </c>
      <c r="D23" s="56">
        <v>1</v>
      </c>
      <c r="E23" s="76" t="s">
        <v>11</v>
      </c>
      <c r="F23" s="78">
        <f>8000*3.5%+8000</f>
        <v>8280</v>
      </c>
      <c r="G23" s="59">
        <f t="shared" si="0"/>
        <v>8280</v>
      </c>
      <c r="H23" s="28" t="s">
        <v>416</v>
      </c>
      <c r="I23" s="28" t="s">
        <v>39</v>
      </c>
      <c r="J23" s="28" t="s">
        <v>40</v>
      </c>
      <c r="K23" s="28" t="s">
        <v>533</v>
      </c>
    </row>
    <row r="24" spans="1:11" ht="24" x14ac:dyDescent="0.25">
      <c r="A24" s="74">
        <v>21</v>
      </c>
      <c r="B24" s="37" t="s">
        <v>441</v>
      </c>
      <c r="C24" s="28" t="s">
        <v>396</v>
      </c>
      <c r="D24" s="56">
        <v>1</v>
      </c>
      <c r="E24" s="76" t="s">
        <v>11</v>
      </c>
      <c r="F24" s="79">
        <f>15000*3.5%+15000</f>
        <v>15525</v>
      </c>
      <c r="G24" s="59">
        <f t="shared" si="0"/>
        <v>15525</v>
      </c>
      <c r="H24" s="28" t="s">
        <v>416</v>
      </c>
      <c r="I24" s="28" t="s">
        <v>39</v>
      </c>
      <c r="J24" s="28" t="s">
        <v>40</v>
      </c>
      <c r="K24" s="28" t="s">
        <v>533</v>
      </c>
    </row>
    <row r="25" spans="1:11" ht="24" x14ac:dyDescent="0.25">
      <c r="A25" s="74">
        <v>22</v>
      </c>
      <c r="B25" s="37" t="s">
        <v>442</v>
      </c>
      <c r="C25" s="28" t="s">
        <v>396</v>
      </c>
      <c r="D25" s="56">
        <v>1</v>
      </c>
      <c r="E25" s="76" t="s">
        <v>11</v>
      </c>
      <c r="F25" s="78">
        <f>58000*3.5%+58000</f>
        <v>60030</v>
      </c>
      <c r="G25" s="59">
        <f t="shared" si="0"/>
        <v>60030</v>
      </c>
      <c r="H25" s="28" t="s">
        <v>416</v>
      </c>
      <c r="I25" s="28" t="s">
        <v>39</v>
      </c>
      <c r="J25" s="28" t="s">
        <v>40</v>
      </c>
      <c r="K25" s="28" t="s">
        <v>533</v>
      </c>
    </row>
    <row r="26" spans="1:11" ht="24" x14ac:dyDescent="0.25">
      <c r="A26" s="73">
        <v>23</v>
      </c>
      <c r="B26" s="37" t="s">
        <v>443</v>
      </c>
      <c r="C26" s="28" t="s">
        <v>396</v>
      </c>
      <c r="D26" s="56">
        <v>1</v>
      </c>
      <c r="E26" s="76" t="s">
        <v>11</v>
      </c>
      <c r="F26" s="78">
        <f t="shared" ref="F26:F28" si="1">58000*3.5%+58000</f>
        <v>60030</v>
      </c>
      <c r="G26" s="59">
        <f t="shared" si="0"/>
        <v>60030</v>
      </c>
      <c r="H26" s="28" t="s">
        <v>416</v>
      </c>
      <c r="I26" s="28" t="s">
        <v>39</v>
      </c>
      <c r="J26" s="28" t="s">
        <v>40</v>
      </c>
      <c r="K26" s="28" t="s">
        <v>533</v>
      </c>
    </row>
    <row r="27" spans="1:11" ht="24" x14ac:dyDescent="0.25">
      <c r="A27" s="74">
        <v>24</v>
      </c>
      <c r="B27" s="37" t="s">
        <v>444</v>
      </c>
      <c r="C27" s="28" t="s">
        <v>396</v>
      </c>
      <c r="D27" s="56">
        <v>1</v>
      </c>
      <c r="E27" s="76" t="s">
        <v>11</v>
      </c>
      <c r="F27" s="78">
        <f t="shared" si="1"/>
        <v>60030</v>
      </c>
      <c r="G27" s="59">
        <f t="shared" si="0"/>
        <v>60030</v>
      </c>
      <c r="H27" s="28" t="s">
        <v>416</v>
      </c>
      <c r="I27" s="28" t="s">
        <v>39</v>
      </c>
      <c r="J27" s="28" t="s">
        <v>40</v>
      </c>
      <c r="K27" s="28" t="s">
        <v>533</v>
      </c>
    </row>
    <row r="28" spans="1:11" ht="24" x14ac:dyDescent="0.25">
      <c r="A28" s="74">
        <v>25</v>
      </c>
      <c r="B28" s="37" t="s">
        <v>445</v>
      </c>
      <c r="C28" s="28" t="s">
        <v>396</v>
      </c>
      <c r="D28" s="56">
        <v>1</v>
      </c>
      <c r="E28" s="76" t="s">
        <v>11</v>
      </c>
      <c r="F28" s="78">
        <f t="shared" si="1"/>
        <v>60030</v>
      </c>
      <c r="G28" s="59">
        <f t="shared" si="0"/>
        <v>60030</v>
      </c>
      <c r="H28" s="28" t="s">
        <v>416</v>
      </c>
      <c r="I28" s="28" t="s">
        <v>39</v>
      </c>
      <c r="J28" s="28" t="s">
        <v>40</v>
      </c>
      <c r="K28" s="28" t="s">
        <v>533</v>
      </c>
    </row>
    <row r="29" spans="1:11" ht="24" x14ac:dyDescent="0.25">
      <c r="A29" s="73">
        <v>26</v>
      </c>
      <c r="B29" s="37" t="s">
        <v>446</v>
      </c>
      <c r="C29" s="28" t="s">
        <v>396</v>
      </c>
      <c r="D29" s="56">
        <v>1</v>
      </c>
      <c r="E29" s="76" t="s">
        <v>11</v>
      </c>
      <c r="F29" s="78">
        <f>68000*3.5%+68000</f>
        <v>70380</v>
      </c>
      <c r="G29" s="59">
        <f t="shared" si="0"/>
        <v>70380</v>
      </c>
      <c r="H29" s="28" t="s">
        <v>416</v>
      </c>
      <c r="I29" s="28" t="s">
        <v>39</v>
      </c>
      <c r="J29" s="28" t="s">
        <v>40</v>
      </c>
      <c r="K29" s="28" t="s">
        <v>533</v>
      </c>
    </row>
    <row r="30" spans="1:11" ht="24" x14ac:dyDescent="0.25">
      <c r="A30" s="74">
        <v>27</v>
      </c>
      <c r="B30" s="37" t="s">
        <v>447</v>
      </c>
      <c r="C30" s="28" t="s">
        <v>396</v>
      </c>
      <c r="D30" s="56">
        <v>1</v>
      </c>
      <c r="E30" s="76" t="s">
        <v>11</v>
      </c>
      <c r="F30" s="78">
        <f t="shared" ref="F30:F31" si="2">68000*3.5%+68000</f>
        <v>70380</v>
      </c>
      <c r="G30" s="59">
        <f t="shared" si="0"/>
        <v>70380</v>
      </c>
      <c r="H30" s="28" t="s">
        <v>416</v>
      </c>
      <c r="I30" s="28" t="s">
        <v>39</v>
      </c>
      <c r="J30" s="28" t="s">
        <v>40</v>
      </c>
      <c r="K30" s="28" t="s">
        <v>533</v>
      </c>
    </row>
    <row r="31" spans="1:11" ht="24" x14ac:dyDescent="0.25">
      <c r="A31" s="74">
        <v>28</v>
      </c>
      <c r="B31" s="37" t="s">
        <v>448</v>
      </c>
      <c r="C31" s="28" t="s">
        <v>396</v>
      </c>
      <c r="D31" s="56">
        <v>1</v>
      </c>
      <c r="E31" s="76" t="s">
        <v>11</v>
      </c>
      <c r="F31" s="78">
        <f t="shared" si="2"/>
        <v>70380</v>
      </c>
      <c r="G31" s="59">
        <f t="shared" si="0"/>
        <v>70380</v>
      </c>
      <c r="H31" s="28" t="s">
        <v>416</v>
      </c>
      <c r="I31" s="28" t="s">
        <v>39</v>
      </c>
      <c r="J31" s="28" t="s">
        <v>40</v>
      </c>
      <c r="K31" s="28" t="s">
        <v>533</v>
      </c>
    </row>
    <row r="32" spans="1:11" ht="24" x14ac:dyDescent="0.25">
      <c r="A32" s="73">
        <v>29</v>
      </c>
      <c r="B32" s="37" t="s">
        <v>449</v>
      </c>
      <c r="C32" s="28" t="s">
        <v>396</v>
      </c>
      <c r="D32" s="56">
        <v>1</v>
      </c>
      <c r="E32" s="76" t="s">
        <v>11</v>
      </c>
      <c r="F32" s="78">
        <f>72000*3.5%+72000</f>
        <v>74520</v>
      </c>
      <c r="G32" s="59">
        <f t="shared" si="0"/>
        <v>74520</v>
      </c>
      <c r="H32" s="28" t="s">
        <v>416</v>
      </c>
      <c r="I32" s="28" t="s">
        <v>39</v>
      </c>
      <c r="J32" s="28" t="s">
        <v>40</v>
      </c>
      <c r="K32" s="28" t="s">
        <v>533</v>
      </c>
    </row>
    <row r="33" spans="1:11" ht="24" x14ac:dyDescent="0.25">
      <c r="A33" s="74">
        <v>30</v>
      </c>
      <c r="B33" s="37" t="s">
        <v>450</v>
      </c>
      <c r="C33" s="28" t="s">
        <v>396</v>
      </c>
      <c r="D33" s="56">
        <v>1</v>
      </c>
      <c r="E33" s="76" t="s">
        <v>11</v>
      </c>
      <c r="F33" s="78">
        <f>72000*3.5%+72000</f>
        <v>74520</v>
      </c>
      <c r="G33" s="59">
        <f t="shared" si="0"/>
        <v>74520</v>
      </c>
      <c r="H33" s="28" t="s">
        <v>416</v>
      </c>
      <c r="I33" s="28" t="s">
        <v>39</v>
      </c>
      <c r="J33" s="28" t="s">
        <v>40</v>
      </c>
      <c r="K33" s="28" t="s">
        <v>533</v>
      </c>
    </row>
    <row r="34" spans="1:11" ht="24" x14ac:dyDescent="0.25">
      <c r="A34" s="74">
        <v>31</v>
      </c>
      <c r="B34" s="37" t="s">
        <v>451</v>
      </c>
      <c r="C34" s="28" t="s">
        <v>396</v>
      </c>
      <c r="D34" s="56">
        <v>1</v>
      </c>
      <c r="E34" s="76" t="s">
        <v>11</v>
      </c>
      <c r="F34" s="78">
        <f>80000*3.5%+80000</f>
        <v>82800</v>
      </c>
      <c r="G34" s="59">
        <f t="shared" si="0"/>
        <v>82800</v>
      </c>
      <c r="H34" s="28" t="s">
        <v>416</v>
      </c>
      <c r="I34" s="28" t="s">
        <v>39</v>
      </c>
      <c r="J34" s="28" t="s">
        <v>40</v>
      </c>
      <c r="K34" s="28" t="s">
        <v>533</v>
      </c>
    </row>
    <row r="35" spans="1:11" ht="24" x14ac:dyDescent="0.25">
      <c r="A35" s="73">
        <v>32</v>
      </c>
      <c r="B35" s="37" t="s">
        <v>452</v>
      </c>
      <c r="C35" s="28" t="s">
        <v>396</v>
      </c>
      <c r="D35" s="56">
        <v>1</v>
      </c>
      <c r="E35" s="76" t="s">
        <v>11</v>
      </c>
      <c r="F35" s="78">
        <f>216000*3.5%+216000</f>
        <v>223560</v>
      </c>
      <c r="G35" s="59">
        <f t="shared" si="0"/>
        <v>223560</v>
      </c>
      <c r="H35" s="28" t="s">
        <v>416</v>
      </c>
      <c r="I35" s="28" t="s">
        <v>39</v>
      </c>
      <c r="J35" s="28" t="s">
        <v>40</v>
      </c>
      <c r="K35" s="28" t="s">
        <v>533</v>
      </c>
    </row>
    <row r="36" spans="1:11" ht="24" x14ac:dyDescent="0.25">
      <c r="A36" s="74">
        <v>33</v>
      </c>
      <c r="B36" s="37" t="s">
        <v>453</v>
      </c>
      <c r="C36" s="28" t="s">
        <v>396</v>
      </c>
      <c r="D36" s="56">
        <v>1</v>
      </c>
      <c r="E36" s="76" t="s">
        <v>11</v>
      </c>
      <c r="F36" s="78">
        <f>250000*3.5%+250000</f>
        <v>258750</v>
      </c>
      <c r="G36" s="59">
        <f t="shared" si="0"/>
        <v>258750</v>
      </c>
      <c r="H36" s="28" t="s">
        <v>416</v>
      </c>
      <c r="I36" s="28" t="s">
        <v>39</v>
      </c>
      <c r="J36" s="28" t="s">
        <v>40</v>
      </c>
      <c r="K36" s="28" t="s">
        <v>533</v>
      </c>
    </row>
    <row r="37" spans="1:11" ht="24" x14ac:dyDescent="0.25">
      <c r="A37" s="74">
        <v>34</v>
      </c>
      <c r="B37" s="37" t="s">
        <v>454</v>
      </c>
      <c r="C37" s="28" t="s">
        <v>396</v>
      </c>
      <c r="D37" s="56">
        <v>1</v>
      </c>
      <c r="E37" s="76" t="s">
        <v>11</v>
      </c>
      <c r="F37" s="78">
        <f>295000*3.5%+295000</f>
        <v>305325</v>
      </c>
      <c r="G37" s="59">
        <f t="shared" si="0"/>
        <v>305325</v>
      </c>
      <c r="H37" s="28" t="s">
        <v>416</v>
      </c>
      <c r="I37" s="28" t="s">
        <v>39</v>
      </c>
      <c r="J37" s="28" t="s">
        <v>40</v>
      </c>
      <c r="K37" s="28" t="s">
        <v>533</v>
      </c>
    </row>
    <row r="38" spans="1:11" ht="24" x14ac:dyDescent="0.25">
      <c r="A38" s="73">
        <v>35</v>
      </c>
      <c r="B38" s="37" t="s">
        <v>440</v>
      </c>
      <c r="C38" s="28" t="s">
        <v>396</v>
      </c>
      <c r="D38" s="56">
        <v>1</v>
      </c>
      <c r="E38" s="76" t="s">
        <v>11</v>
      </c>
      <c r="F38" s="78">
        <f>8000*3.5%+8000</f>
        <v>8280</v>
      </c>
      <c r="G38" s="59">
        <f t="shared" si="0"/>
        <v>8280</v>
      </c>
      <c r="H38" s="28" t="s">
        <v>416</v>
      </c>
      <c r="I38" s="28" t="s">
        <v>39</v>
      </c>
      <c r="J38" s="28" t="s">
        <v>40</v>
      </c>
      <c r="K38" s="28" t="s">
        <v>533</v>
      </c>
    </row>
    <row r="39" spans="1:11" ht="24" x14ac:dyDescent="0.25">
      <c r="A39" s="74">
        <v>36</v>
      </c>
      <c r="B39" s="37" t="s">
        <v>453</v>
      </c>
      <c r="C39" s="28" t="s">
        <v>396</v>
      </c>
      <c r="D39" s="56">
        <v>1</v>
      </c>
      <c r="E39" s="76" t="s">
        <v>11</v>
      </c>
      <c r="F39" s="78">
        <f>250000*3.5%+250000</f>
        <v>258750</v>
      </c>
      <c r="G39" s="59">
        <f t="shared" si="0"/>
        <v>258750</v>
      </c>
      <c r="H39" s="28" t="s">
        <v>416</v>
      </c>
      <c r="I39" s="28" t="s">
        <v>39</v>
      </c>
      <c r="J39" s="28" t="s">
        <v>40</v>
      </c>
      <c r="K39" s="28" t="s">
        <v>533</v>
      </c>
    </row>
    <row r="40" spans="1:11" ht="24" x14ac:dyDescent="0.25">
      <c r="A40" s="74">
        <v>37</v>
      </c>
      <c r="B40" s="37" t="s">
        <v>454</v>
      </c>
      <c r="C40" s="28" t="s">
        <v>396</v>
      </c>
      <c r="D40" s="56">
        <v>1</v>
      </c>
      <c r="E40" s="76" t="s">
        <v>11</v>
      </c>
      <c r="F40" s="78">
        <f>295000*3.5%+295000</f>
        <v>305325</v>
      </c>
      <c r="G40" s="59">
        <f t="shared" si="0"/>
        <v>305325</v>
      </c>
      <c r="H40" s="28" t="s">
        <v>416</v>
      </c>
      <c r="I40" s="28" t="s">
        <v>39</v>
      </c>
      <c r="J40" s="28" t="s">
        <v>40</v>
      </c>
      <c r="K40" s="28" t="s">
        <v>533</v>
      </c>
    </row>
    <row r="41" spans="1:11" ht="24" x14ac:dyDescent="0.25">
      <c r="A41" s="73">
        <v>38</v>
      </c>
      <c r="B41" s="37" t="s">
        <v>455</v>
      </c>
      <c r="C41" s="28" t="s">
        <v>396</v>
      </c>
      <c r="D41" s="56">
        <v>1</v>
      </c>
      <c r="E41" s="76" t="s">
        <v>15</v>
      </c>
      <c r="F41" s="78">
        <f>52000*3.5%+52000</f>
        <v>53820</v>
      </c>
      <c r="G41" s="59">
        <f t="shared" si="0"/>
        <v>53820</v>
      </c>
      <c r="H41" s="28" t="s">
        <v>416</v>
      </c>
      <c r="I41" s="28" t="s">
        <v>39</v>
      </c>
      <c r="J41" s="28" t="s">
        <v>40</v>
      </c>
      <c r="K41" s="28" t="s">
        <v>533</v>
      </c>
    </row>
    <row r="42" spans="1:11" ht="24" x14ac:dyDescent="0.25">
      <c r="A42" s="74">
        <v>39</v>
      </c>
      <c r="B42" s="72" t="s">
        <v>456</v>
      </c>
      <c r="C42" s="28" t="s">
        <v>396</v>
      </c>
      <c r="D42" s="56">
        <v>1</v>
      </c>
      <c r="E42" s="76" t="s">
        <v>15</v>
      </c>
      <c r="F42" s="80">
        <f>700*3.5%+700</f>
        <v>724.5</v>
      </c>
      <c r="G42" s="59">
        <f t="shared" si="0"/>
        <v>724.5</v>
      </c>
      <c r="H42" s="28" t="s">
        <v>416</v>
      </c>
      <c r="I42" s="28" t="s">
        <v>39</v>
      </c>
      <c r="J42" s="28" t="s">
        <v>40</v>
      </c>
      <c r="K42" s="28" t="s">
        <v>533</v>
      </c>
    </row>
    <row r="43" spans="1:11" ht="24" x14ac:dyDescent="0.25">
      <c r="A43" s="74">
        <v>40</v>
      </c>
      <c r="B43" s="37" t="s">
        <v>457</v>
      </c>
      <c r="C43" s="28" t="s">
        <v>396</v>
      </c>
      <c r="D43" s="56">
        <v>1</v>
      </c>
      <c r="E43" s="76" t="s">
        <v>15</v>
      </c>
      <c r="F43" s="78">
        <f>7000*3.5%+7000</f>
        <v>7245</v>
      </c>
      <c r="G43" s="59">
        <f t="shared" si="0"/>
        <v>7245</v>
      </c>
      <c r="H43" s="28" t="s">
        <v>416</v>
      </c>
      <c r="I43" s="28" t="s">
        <v>39</v>
      </c>
      <c r="J43" s="28" t="s">
        <v>40</v>
      </c>
      <c r="K43" s="28" t="s">
        <v>533</v>
      </c>
    </row>
    <row r="44" spans="1:11" ht="24" x14ac:dyDescent="0.25">
      <c r="A44" s="73">
        <v>41</v>
      </c>
      <c r="B44" s="37" t="s">
        <v>458</v>
      </c>
      <c r="C44" s="28" t="s">
        <v>396</v>
      </c>
      <c r="D44" s="56">
        <v>1</v>
      </c>
      <c r="E44" s="76" t="s">
        <v>15</v>
      </c>
      <c r="F44" s="78">
        <f>3500*3.5%+3500</f>
        <v>3622.5</v>
      </c>
      <c r="G44" s="59">
        <f t="shared" si="0"/>
        <v>3622.5</v>
      </c>
      <c r="H44" s="28" t="s">
        <v>416</v>
      </c>
      <c r="I44" s="28" t="s">
        <v>39</v>
      </c>
      <c r="J44" s="28" t="s">
        <v>40</v>
      </c>
      <c r="K44" s="28" t="s">
        <v>533</v>
      </c>
    </row>
    <row r="45" spans="1:11" ht="24" x14ac:dyDescent="0.25">
      <c r="A45" s="74">
        <v>42</v>
      </c>
      <c r="B45" s="37" t="s">
        <v>459</v>
      </c>
      <c r="C45" s="28" t="s">
        <v>396</v>
      </c>
      <c r="D45" s="56">
        <v>1</v>
      </c>
      <c r="E45" s="76" t="s">
        <v>15</v>
      </c>
      <c r="F45" s="78">
        <f>2500*3.5%+2500</f>
        <v>2587.5</v>
      </c>
      <c r="G45" s="59">
        <f t="shared" si="0"/>
        <v>2587.5</v>
      </c>
      <c r="H45" s="28" t="s">
        <v>416</v>
      </c>
      <c r="I45" s="28" t="s">
        <v>39</v>
      </c>
      <c r="J45" s="28" t="s">
        <v>40</v>
      </c>
      <c r="K45" s="28" t="s">
        <v>533</v>
      </c>
    </row>
    <row r="46" spans="1:11" ht="24" x14ac:dyDescent="0.25">
      <c r="A46" s="74">
        <v>43</v>
      </c>
      <c r="B46" s="37" t="s">
        <v>460</v>
      </c>
      <c r="C46" s="28" t="s">
        <v>396</v>
      </c>
      <c r="D46" s="56">
        <v>1</v>
      </c>
      <c r="E46" s="76" t="s">
        <v>15</v>
      </c>
      <c r="F46" s="78">
        <f>1800*3.5%+1800</f>
        <v>1863</v>
      </c>
      <c r="G46" s="59">
        <f t="shared" si="0"/>
        <v>1863</v>
      </c>
      <c r="H46" s="28" t="s">
        <v>416</v>
      </c>
      <c r="I46" s="28" t="s">
        <v>39</v>
      </c>
      <c r="J46" s="28" t="s">
        <v>40</v>
      </c>
      <c r="K46" s="28" t="s">
        <v>533</v>
      </c>
    </row>
    <row r="47" spans="1:11" ht="24" x14ac:dyDescent="0.25">
      <c r="A47" s="73">
        <v>44</v>
      </c>
      <c r="B47" s="37" t="s">
        <v>461</v>
      </c>
      <c r="C47" s="28" t="s">
        <v>396</v>
      </c>
      <c r="D47" s="56">
        <v>1</v>
      </c>
      <c r="E47" s="76" t="s">
        <v>15</v>
      </c>
      <c r="F47" s="78">
        <f>1000*3.5%+1000</f>
        <v>1035</v>
      </c>
      <c r="G47" s="59">
        <f t="shared" si="0"/>
        <v>1035</v>
      </c>
      <c r="H47" s="28" t="s">
        <v>416</v>
      </c>
      <c r="I47" s="28" t="s">
        <v>39</v>
      </c>
      <c r="J47" s="28" t="s">
        <v>40</v>
      </c>
      <c r="K47" s="28" t="s">
        <v>533</v>
      </c>
    </row>
    <row r="48" spans="1:11" ht="24" x14ac:dyDescent="0.25">
      <c r="A48" s="74">
        <v>45</v>
      </c>
      <c r="B48" s="37" t="s">
        <v>462</v>
      </c>
      <c r="C48" s="28" t="s">
        <v>396</v>
      </c>
      <c r="D48" s="56">
        <v>1</v>
      </c>
      <c r="E48" s="76" t="s">
        <v>15</v>
      </c>
      <c r="F48" s="78">
        <f>3500*3.5%+3500</f>
        <v>3622.5</v>
      </c>
      <c r="G48" s="59">
        <f t="shared" si="0"/>
        <v>3622.5</v>
      </c>
      <c r="H48" s="28" t="s">
        <v>416</v>
      </c>
      <c r="I48" s="28" t="s">
        <v>39</v>
      </c>
      <c r="J48" s="28" t="s">
        <v>40</v>
      </c>
      <c r="K48" s="28" t="s">
        <v>533</v>
      </c>
    </row>
    <row r="49" spans="1:11" ht="24" x14ac:dyDescent="0.25">
      <c r="A49" s="74">
        <v>46</v>
      </c>
      <c r="B49" s="37" t="s">
        <v>463</v>
      </c>
      <c r="C49" s="28" t="s">
        <v>396</v>
      </c>
      <c r="D49" s="56">
        <v>1</v>
      </c>
      <c r="E49" s="76" t="s">
        <v>15</v>
      </c>
      <c r="F49" s="78">
        <f>3000*3.5%+3000</f>
        <v>3105</v>
      </c>
      <c r="G49" s="59">
        <f t="shared" si="0"/>
        <v>3105</v>
      </c>
      <c r="H49" s="28" t="s">
        <v>416</v>
      </c>
      <c r="I49" s="28" t="s">
        <v>39</v>
      </c>
      <c r="J49" s="28" t="s">
        <v>40</v>
      </c>
      <c r="K49" s="28" t="s">
        <v>533</v>
      </c>
    </row>
    <row r="50" spans="1:11" ht="24" x14ac:dyDescent="0.25">
      <c r="A50" s="73">
        <v>47</v>
      </c>
      <c r="B50" s="37" t="s">
        <v>464</v>
      </c>
      <c r="C50" s="28" t="s">
        <v>396</v>
      </c>
      <c r="D50" s="56">
        <v>1</v>
      </c>
      <c r="E50" s="76" t="s">
        <v>15</v>
      </c>
      <c r="F50" s="78">
        <f>1800*3.5%+1800</f>
        <v>1863</v>
      </c>
      <c r="G50" s="59">
        <f t="shared" si="0"/>
        <v>1863</v>
      </c>
      <c r="H50" s="28" t="s">
        <v>416</v>
      </c>
      <c r="I50" s="28" t="s">
        <v>39</v>
      </c>
      <c r="J50" s="28" t="s">
        <v>40</v>
      </c>
      <c r="K50" s="28" t="s">
        <v>533</v>
      </c>
    </row>
    <row r="51" spans="1:11" ht="24" x14ac:dyDescent="0.25">
      <c r="A51" s="74">
        <v>48</v>
      </c>
      <c r="B51" s="37" t="s">
        <v>465</v>
      </c>
      <c r="C51" s="28" t="s">
        <v>396</v>
      </c>
      <c r="D51" s="56">
        <v>1</v>
      </c>
      <c r="E51" s="76" t="s">
        <v>15</v>
      </c>
      <c r="F51" s="78">
        <v>1400</v>
      </c>
      <c r="G51" s="59">
        <f t="shared" si="0"/>
        <v>1400</v>
      </c>
      <c r="H51" s="28" t="s">
        <v>416</v>
      </c>
      <c r="I51" s="28" t="s">
        <v>39</v>
      </c>
      <c r="J51" s="28" t="s">
        <v>40</v>
      </c>
      <c r="K51" s="28" t="s">
        <v>533</v>
      </c>
    </row>
    <row r="52" spans="1:11" ht="24" x14ac:dyDescent="0.25">
      <c r="A52" s="74">
        <v>49</v>
      </c>
      <c r="B52" s="37" t="s">
        <v>466</v>
      </c>
      <c r="C52" s="28" t="s">
        <v>396</v>
      </c>
      <c r="D52" s="56">
        <v>1</v>
      </c>
      <c r="E52" s="76" t="s">
        <v>11</v>
      </c>
      <c r="F52" s="78">
        <f>1000*3.5%+1000</f>
        <v>1035</v>
      </c>
      <c r="G52" s="59">
        <f t="shared" si="0"/>
        <v>1035</v>
      </c>
      <c r="H52" s="28" t="s">
        <v>416</v>
      </c>
      <c r="I52" s="28" t="s">
        <v>39</v>
      </c>
      <c r="J52" s="28" t="s">
        <v>40</v>
      </c>
      <c r="K52" s="28" t="s">
        <v>533</v>
      </c>
    </row>
    <row r="53" spans="1:11" ht="24" x14ac:dyDescent="0.25">
      <c r="A53" s="73">
        <v>50</v>
      </c>
      <c r="B53" s="37" t="s">
        <v>467</v>
      </c>
      <c r="C53" s="28" t="s">
        <v>396</v>
      </c>
      <c r="D53" s="56">
        <v>1</v>
      </c>
      <c r="E53" s="76" t="s">
        <v>531</v>
      </c>
      <c r="F53" s="78">
        <v>8000</v>
      </c>
      <c r="G53" s="59">
        <f t="shared" si="0"/>
        <v>8000</v>
      </c>
      <c r="H53" s="28" t="s">
        <v>416</v>
      </c>
      <c r="I53" s="28" t="s">
        <v>39</v>
      </c>
      <c r="J53" s="28" t="s">
        <v>40</v>
      </c>
      <c r="K53" s="28" t="s">
        <v>533</v>
      </c>
    </row>
    <row r="54" spans="1:11" ht="24" x14ac:dyDescent="0.25">
      <c r="A54" s="74">
        <v>51</v>
      </c>
      <c r="B54" s="37" t="s">
        <v>468</v>
      </c>
      <c r="C54" s="28" t="s">
        <v>396</v>
      </c>
      <c r="D54" s="56">
        <v>1</v>
      </c>
      <c r="E54" s="76" t="s">
        <v>11</v>
      </c>
      <c r="F54" s="78">
        <f>45000*3.5%+45000</f>
        <v>46575</v>
      </c>
      <c r="G54" s="59">
        <f t="shared" si="0"/>
        <v>46575</v>
      </c>
      <c r="H54" s="28" t="s">
        <v>416</v>
      </c>
      <c r="I54" s="28" t="s">
        <v>39</v>
      </c>
      <c r="J54" s="28" t="s">
        <v>40</v>
      </c>
      <c r="K54" s="28" t="s">
        <v>533</v>
      </c>
    </row>
    <row r="55" spans="1:11" ht="24" x14ac:dyDescent="0.25">
      <c r="A55" s="74">
        <v>52</v>
      </c>
      <c r="B55" s="37" t="s">
        <v>469</v>
      </c>
      <c r="C55" s="28" t="s">
        <v>396</v>
      </c>
      <c r="D55" s="56">
        <v>1</v>
      </c>
      <c r="E55" s="76" t="s">
        <v>532</v>
      </c>
      <c r="F55" s="78">
        <v>10000</v>
      </c>
      <c r="G55" s="59">
        <f t="shared" si="0"/>
        <v>10000</v>
      </c>
      <c r="H55" s="28" t="s">
        <v>416</v>
      </c>
      <c r="I55" s="28" t="s">
        <v>39</v>
      </c>
      <c r="J55" s="28" t="s">
        <v>40</v>
      </c>
      <c r="K55" s="28" t="s">
        <v>533</v>
      </c>
    </row>
    <row r="56" spans="1:11" ht="24" x14ac:dyDescent="0.25">
      <c r="A56" s="73">
        <v>53</v>
      </c>
      <c r="B56" s="37" t="s">
        <v>470</v>
      </c>
      <c r="C56" s="28" t="s">
        <v>396</v>
      </c>
      <c r="D56" s="56">
        <v>1</v>
      </c>
      <c r="E56" s="76" t="s">
        <v>531</v>
      </c>
      <c r="F56" s="78">
        <v>3000</v>
      </c>
      <c r="G56" s="59">
        <f t="shared" si="0"/>
        <v>3000</v>
      </c>
      <c r="H56" s="28" t="s">
        <v>416</v>
      </c>
      <c r="I56" s="28" t="s">
        <v>39</v>
      </c>
      <c r="J56" s="28" t="s">
        <v>40</v>
      </c>
      <c r="K56" s="28" t="s">
        <v>533</v>
      </c>
    </row>
    <row r="57" spans="1:11" ht="24" x14ac:dyDescent="0.25">
      <c r="A57" s="74">
        <v>54</v>
      </c>
      <c r="B57" s="37" t="s">
        <v>471</v>
      </c>
      <c r="C57" s="28" t="s">
        <v>396</v>
      </c>
      <c r="D57" s="56">
        <v>1</v>
      </c>
      <c r="E57" s="76" t="s">
        <v>531</v>
      </c>
      <c r="F57" s="78">
        <v>7500</v>
      </c>
      <c r="G57" s="59">
        <f t="shared" si="0"/>
        <v>7500</v>
      </c>
      <c r="H57" s="28" t="s">
        <v>416</v>
      </c>
      <c r="I57" s="28" t="s">
        <v>39</v>
      </c>
      <c r="J57" s="28" t="s">
        <v>40</v>
      </c>
      <c r="K57" s="28" t="s">
        <v>533</v>
      </c>
    </row>
    <row r="58" spans="1:11" ht="24" x14ac:dyDescent="0.25">
      <c r="A58" s="74">
        <v>55</v>
      </c>
      <c r="B58" s="37" t="s">
        <v>472</v>
      </c>
      <c r="C58" s="28" t="s">
        <v>396</v>
      </c>
      <c r="D58" s="56">
        <v>1</v>
      </c>
      <c r="E58" s="76" t="s">
        <v>531</v>
      </c>
      <c r="F58" s="80">
        <v>300</v>
      </c>
      <c r="G58" s="59">
        <f t="shared" si="0"/>
        <v>300</v>
      </c>
      <c r="H58" s="28" t="s">
        <v>416</v>
      </c>
      <c r="I58" s="28" t="s">
        <v>39</v>
      </c>
      <c r="J58" s="28" t="s">
        <v>40</v>
      </c>
      <c r="K58" s="28" t="s">
        <v>533</v>
      </c>
    </row>
    <row r="59" spans="1:11" ht="24" x14ac:dyDescent="0.25">
      <c r="A59" s="73">
        <v>56</v>
      </c>
      <c r="B59" s="37" t="s">
        <v>473</v>
      </c>
      <c r="C59" s="28" t="s">
        <v>396</v>
      </c>
      <c r="D59" s="56">
        <v>1</v>
      </c>
      <c r="E59" s="76" t="s">
        <v>11</v>
      </c>
      <c r="F59" s="78">
        <f>3000*3.5%+3000</f>
        <v>3105</v>
      </c>
      <c r="G59" s="59">
        <f t="shared" si="0"/>
        <v>3105</v>
      </c>
      <c r="H59" s="28" t="s">
        <v>416</v>
      </c>
      <c r="I59" s="28" t="s">
        <v>39</v>
      </c>
      <c r="J59" s="28" t="s">
        <v>40</v>
      </c>
      <c r="K59" s="28" t="s">
        <v>533</v>
      </c>
    </row>
    <row r="60" spans="1:11" ht="24" x14ac:dyDescent="0.25">
      <c r="A60" s="74">
        <v>57</v>
      </c>
      <c r="B60" s="37" t="s">
        <v>474</v>
      </c>
      <c r="C60" s="28" t="s">
        <v>396</v>
      </c>
      <c r="D60" s="56">
        <v>1</v>
      </c>
      <c r="E60" s="76" t="s">
        <v>11</v>
      </c>
      <c r="F60" s="78">
        <f>1800*3.5%+1800</f>
        <v>1863</v>
      </c>
      <c r="G60" s="59">
        <f t="shared" si="0"/>
        <v>1863</v>
      </c>
      <c r="H60" s="28" t="s">
        <v>416</v>
      </c>
      <c r="I60" s="28" t="s">
        <v>39</v>
      </c>
      <c r="J60" s="28" t="s">
        <v>40</v>
      </c>
      <c r="K60" s="28" t="s">
        <v>533</v>
      </c>
    </row>
    <row r="61" spans="1:11" ht="24" x14ac:dyDescent="0.25">
      <c r="A61" s="74">
        <v>58</v>
      </c>
      <c r="B61" s="37" t="s">
        <v>472</v>
      </c>
      <c r="C61" s="28" t="s">
        <v>396</v>
      </c>
      <c r="D61" s="56">
        <v>1</v>
      </c>
      <c r="E61" s="76" t="s">
        <v>11</v>
      </c>
      <c r="F61" s="80">
        <f>300*3.5%+300</f>
        <v>310.5</v>
      </c>
      <c r="G61" s="59">
        <f t="shared" si="0"/>
        <v>310.5</v>
      </c>
      <c r="H61" s="28" t="s">
        <v>416</v>
      </c>
      <c r="I61" s="28" t="s">
        <v>39</v>
      </c>
      <c r="J61" s="28" t="s">
        <v>40</v>
      </c>
      <c r="K61" s="28" t="s">
        <v>533</v>
      </c>
    </row>
    <row r="62" spans="1:11" ht="24" x14ac:dyDescent="0.25">
      <c r="A62" s="73">
        <v>59</v>
      </c>
      <c r="B62" s="37" t="s">
        <v>475</v>
      </c>
      <c r="C62" s="28" t="s">
        <v>396</v>
      </c>
      <c r="D62" s="56">
        <v>1</v>
      </c>
      <c r="E62" s="76" t="s">
        <v>11</v>
      </c>
      <c r="F62" s="78">
        <f>1000*3.5%+1000</f>
        <v>1035</v>
      </c>
      <c r="G62" s="59">
        <f t="shared" si="0"/>
        <v>1035</v>
      </c>
      <c r="H62" s="28" t="s">
        <v>416</v>
      </c>
      <c r="I62" s="28" t="s">
        <v>39</v>
      </c>
      <c r="J62" s="28" t="s">
        <v>40</v>
      </c>
      <c r="K62" s="28" t="s">
        <v>533</v>
      </c>
    </row>
    <row r="63" spans="1:11" ht="24" x14ac:dyDescent="0.25">
      <c r="A63" s="74">
        <v>60</v>
      </c>
      <c r="B63" s="37" t="s">
        <v>476</v>
      </c>
      <c r="C63" s="28" t="s">
        <v>396</v>
      </c>
      <c r="D63" s="56">
        <v>1</v>
      </c>
      <c r="E63" s="76" t="s">
        <v>11</v>
      </c>
      <c r="F63" s="78">
        <f>8600*3.5%+8600</f>
        <v>8901</v>
      </c>
      <c r="G63" s="59">
        <f t="shared" si="0"/>
        <v>8901</v>
      </c>
      <c r="H63" s="28" t="s">
        <v>416</v>
      </c>
      <c r="I63" s="28" t="s">
        <v>39</v>
      </c>
      <c r="J63" s="28" t="s">
        <v>40</v>
      </c>
      <c r="K63" s="28" t="s">
        <v>533</v>
      </c>
    </row>
    <row r="64" spans="1:11" ht="24" x14ac:dyDescent="0.25">
      <c r="A64" s="74">
        <v>61</v>
      </c>
      <c r="B64" s="37" t="s">
        <v>477</v>
      </c>
      <c r="C64" s="28" t="s">
        <v>396</v>
      </c>
      <c r="D64" s="56">
        <v>1</v>
      </c>
      <c r="E64" s="76" t="s">
        <v>531</v>
      </c>
      <c r="F64" s="78">
        <f>3000*3.5%+3000</f>
        <v>3105</v>
      </c>
      <c r="G64" s="59">
        <f t="shared" si="0"/>
        <v>3105</v>
      </c>
      <c r="H64" s="28" t="s">
        <v>416</v>
      </c>
      <c r="I64" s="28" t="s">
        <v>39</v>
      </c>
      <c r="J64" s="28" t="s">
        <v>40</v>
      </c>
      <c r="K64" s="28" t="s">
        <v>533</v>
      </c>
    </row>
    <row r="65" spans="1:11" ht="24" x14ac:dyDescent="0.25">
      <c r="A65" s="73">
        <v>62</v>
      </c>
      <c r="B65" s="37" t="s">
        <v>478</v>
      </c>
      <c r="C65" s="28" t="s">
        <v>396</v>
      </c>
      <c r="D65" s="56">
        <v>1</v>
      </c>
      <c r="E65" s="76" t="s">
        <v>531</v>
      </c>
      <c r="F65" s="78">
        <f>7000*3.5%+7000</f>
        <v>7245</v>
      </c>
      <c r="G65" s="59">
        <f t="shared" si="0"/>
        <v>7245</v>
      </c>
      <c r="H65" s="28" t="s">
        <v>416</v>
      </c>
      <c r="I65" s="28" t="s">
        <v>39</v>
      </c>
      <c r="J65" s="28" t="s">
        <v>40</v>
      </c>
      <c r="K65" s="28" t="s">
        <v>533</v>
      </c>
    </row>
    <row r="66" spans="1:11" ht="24" x14ac:dyDescent="0.25">
      <c r="A66" s="74">
        <v>63</v>
      </c>
      <c r="B66" s="37" t="s">
        <v>479</v>
      </c>
      <c r="C66" s="28" t="s">
        <v>396</v>
      </c>
      <c r="D66" s="56">
        <v>1</v>
      </c>
      <c r="E66" s="76" t="s">
        <v>531</v>
      </c>
      <c r="F66" s="78">
        <f>9000*3.5%+9000</f>
        <v>9315</v>
      </c>
      <c r="G66" s="59">
        <f t="shared" si="0"/>
        <v>9315</v>
      </c>
      <c r="H66" s="28" t="s">
        <v>416</v>
      </c>
      <c r="I66" s="28" t="s">
        <v>39</v>
      </c>
      <c r="J66" s="28" t="s">
        <v>40</v>
      </c>
      <c r="K66" s="28" t="s">
        <v>533</v>
      </c>
    </row>
    <row r="67" spans="1:11" ht="24" x14ac:dyDescent="0.25">
      <c r="A67" s="74">
        <v>64</v>
      </c>
      <c r="B67" s="37" t="s">
        <v>480</v>
      </c>
      <c r="C67" s="28" t="s">
        <v>396</v>
      </c>
      <c r="D67" s="56">
        <v>1</v>
      </c>
      <c r="E67" s="76" t="s">
        <v>15</v>
      </c>
      <c r="F67" s="78">
        <f>5000*3.5%+5000</f>
        <v>5175</v>
      </c>
      <c r="G67" s="59">
        <f t="shared" si="0"/>
        <v>5175</v>
      </c>
      <c r="H67" s="28" t="s">
        <v>416</v>
      </c>
      <c r="I67" s="28" t="s">
        <v>39</v>
      </c>
      <c r="J67" s="28" t="s">
        <v>40</v>
      </c>
      <c r="K67" s="28" t="s">
        <v>533</v>
      </c>
    </row>
    <row r="68" spans="1:11" ht="24" x14ac:dyDescent="0.25">
      <c r="A68" s="73">
        <v>65</v>
      </c>
      <c r="B68" s="37" t="s">
        <v>481</v>
      </c>
      <c r="C68" s="28" t="s">
        <v>396</v>
      </c>
      <c r="D68" s="56">
        <v>1</v>
      </c>
      <c r="E68" s="76" t="s">
        <v>11</v>
      </c>
      <c r="F68" s="78">
        <f>39000*3.5%+39000</f>
        <v>40365</v>
      </c>
      <c r="G68" s="59">
        <f t="shared" si="0"/>
        <v>40365</v>
      </c>
      <c r="H68" s="28" t="s">
        <v>416</v>
      </c>
      <c r="I68" s="28" t="s">
        <v>39</v>
      </c>
      <c r="J68" s="28" t="s">
        <v>40</v>
      </c>
      <c r="K68" s="28" t="s">
        <v>533</v>
      </c>
    </row>
    <row r="69" spans="1:11" ht="24" x14ac:dyDescent="0.25">
      <c r="A69" s="74">
        <v>66</v>
      </c>
      <c r="B69" s="37" t="s">
        <v>482</v>
      </c>
      <c r="C69" s="28" t="s">
        <v>396</v>
      </c>
      <c r="D69" s="56">
        <v>1</v>
      </c>
      <c r="E69" s="76" t="s">
        <v>11</v>
      </c>
      <c r="F69" s="78">
        <f>320000*3.5%+320000</f>
        <v>331200</v>
      </c>
      <c r="G69" s="59">
        <f t="shared" ref="G69:G117" si="3">D69*F69</f>
        <v>331200</v>
      </c>
      <c r="H69" s="28" t="s">
        <v>416</v>
      </c>
      <c r="I69" s="28" t="s">
        <v>39</v>
      </c>
      <c r="J69" s="28" t="s">
        <v>40</v>
      </c>
      <c r="K69" s="28" t="s">
        <v>533</v>
      </c>
    </row>
    <row r="70" spans="1:11" ht="24" x14ac:dyDescent="0.25">
      <c r="A70" s="74">
        <v>67</v>
      </c>
      <c r="B70" s="37" t="s">
        <v>483</v>
      </c>
      <c r="C70" s="28" t="s">
        <v>396</v>
      </c>
      <c r="D70" s="56">
        <v>1</v>
      </c>
      <c r="E70" s="76" t="s">
        <v>11</v>
      </c>
      <c r="F70" s="78">
        <f>7000*3.5%+7000</f>
        <v>7245</v>
      </c>
      <c r="G70" s="59">
        <f t="shared" si="3"/>
        <v>7245</v>
      </c>
      <c r="H70" s="28" t="s">
        <v>416</v>
      </c>
      <c r="I70" s="28" t="s">
        <v>39</v>
      </c>
      <c r="J70" s="28" t="s">
        <v>40</v>
      </c>
      <c r="K70" s="28" t="s">
        <v>533</v>
      </c>
    </row>
    <row r="71" spans="1:11" ht="24" x14ac:dyDescent="0.25">
      <c r="A71" s="73">
        <v>68</v>
      </c>
      <c r="B71" s="37" t="s">
        <v>484</v>
      </c>
      <c r="C71" s="28" t="s">
        <v>396</v>
      </c>
      <c r="D71" s="56">
        <v>1</v>
      </c>
      <c r="E71" s="76" t="s">
        <v>11</v>
      </c>
      <c r="F71" s="78">
        <f>5500*3.5%+5500</f>
        <v>5692.5</v>
      </c>
      <c r="G71" s="59">
        <f t="shared" si="3"/>
        <v>5692.5</v>
      </c>
      <c r="H71" s="28" t="s">
        <v>416</v>
      </c>
      <c r="I71" s="28" t="s">
        <v>39</v>
      </c>
      <c r="J71" s="28" t="s">
        <v>40</v>
      </c>
      <c r="K71" s="28" t="s">
        <v>533</v>
      </c>
    </row>
    <row r="72" spans="1:11" ht="24" x14ac:dyDescent="0.25">
      <c r="A72" s="74">
        <v>69</v>
      </c>
      <c r="B72" s="37" t="s">
        <v>485</v>
      </c>
      <c r="C72" s="28" t="s">
        <v>396</v>
      </c>
      <c r="D72" s="56">
        <v>1</v>
      </c>
      <c r="E72" s="76" t="s">
        <v>11</v>
      </c>
      <c r="F72" s="78">
        <f>9000*3.5%+9000</f>
        <v>9315</v>
      </c>
      <c r="G72" s="59">
        <f t="shared" si="3"/>
        <v>9315</v>
      </c>
      <c r="H72" s="28" t="s">
        <v>416</v>
      </c>
      <c r="I72" s="28" t="s">
        <v>39</v>
      </c>
      <c r="J72" s="28" t="s">
        <v>40</v>
      </c>
      <c r="K72" s="28" t="s">
        <v>533</v>
      </c>
    </row>
    <row r="73" spans="1:11" ht="24" x14ac:dyDescent="0.25">
      <c r="A73" s="74">
        <v>70</v>
      </c>
      <c r="B73" s="37" t="s">
        <v>486</v>
      </c>
      <c r="C73" s="28" t="s">
        <v>396</v>
      </c>
      <c r="D73" s="56">
        <v>1</v>
      </c>
      <c r="E73" s="76" t="s">
        <v>531</v>
      </c>
      <c r="F73" s="78">
        <f>49000*3.5%+49000</f>
        <v>50715</v>
      </c>
      <c r="G73" s="59">
        <f t="shared" si="3"/>
        <v>50715</v>
      </c>
      <c r="H73" s="28" t="s">
        <v>416</v>
      </c>
      <c r="I73" s="28" t="s">
        <v>39</v>
      </c>
      <c r="J73" s="28" t="s">
        <v>40</v>
      </c>
      <c r="K73" s="28" t="s">
        <v>533</v>
      </c>
    </row>
    <row r="74" spans="1:11" ht="24" x14ac:dyDescent="0.25">
      <c r="A74" s="73">
        <v>71</v>
      </c>
      <c r="B74" s="37" t="s">
        <v>487</v>
      </c>
      <c r="C74" s="28" t="s">
        <v>396</v>
      </c>
      <c r="D74" s="56">
        <v>1</v>
      </c>
      <c r="E74" s="76" t="s">
        <v>531</v>
      </c>
      <c r="F74" s="78">
        <f>3200000*3.5%+3200000</f>
        <v>3312000</v>
      </c>
      <c r="G74" s="59">
        <f t="shared" si="3"/>
        <v>3312000</v>
      </c>
      <c r="H74" s="28" t="s">
        <v>416</v>
      </c>
      <c r="I74" s="28" t="s">
        <v>39</v>
      </c>
      <c r="J74" s="28" t="s">
        <v>40</v>
      </c>
      <c r="K74" s="28" t="s">
        <v>533</v>
      </c>
    </row>
    <row r="75" spans="1:11" ht="24" x14ac:dyDescent="0.25">
      <c r="A75" s="74">
        <v>72</v>
      </c>
      <c r="B75" s="37" t="s">
        <v>488</v>
      </c>
      <c r="C75" s="28" t="s">
        <v>396</v>
      </c>
      <c r="D75" s="56">
        <v>1</v>
      </c>
      <c r="E75" s="76" t="s">
        <v>415</v>
      </c>
      <c r="F75" s="78">
        <f>720000*3.5%+720000</f>
        <v>745200</v>
      </c>
      <c r="G75" s="59">
        <f t="shared" si="3"/>
        <v>745200</v>
      </c>
      <c r="H75" s="28" t="s">
        <v>416</v>
      </c>
      <c r="I75" s="28" t="s">
        <v>39</v>
      </c>
      <c r="J75" s="28" t="s">
        <v>40</v>
      </c>
      <c r="K75" s="28" t="s">
        <v>533</v>
      </c>
    </row>
    <row r="76" spans="1:11" ht="24" x14ac:dyDescent="0.25">
      <c r="A76" s="74">
        <v>73</v>
      </c>
      <c r="B76" s="37" t="s">
        <v>489</v>
      </c>
      <c r="C76" s="28" t="s">
        <v>396</v>
      </c>
      <c r="D76" s="56">
        <v>1</v>
      </c>
      <c r="E76" s="76" t="s">
        <v>531</v>
      </c>
      <c r="F76" s="78">
        <f>1000*3.5%+1000</f>
        <v>1035</v>
      </c>
      <c r="G76" s="59">
        <f t="shared" si="3"/>
        <v>1035</v>
      </c>
      <c r="H76" s="28" t="s">
        <v>416</v>
      </c>
      <c r="I76" s="28" t="s">
        <v>39</v>
      </c>
      <c r="J76" s="28" t="s">
        <v>40</v>
      </c>
      <c r="K76" s="28" t="s">
        <v>533</v>
      </c>
    </row>
    <row r="77" spans="1:11" ht="24" x14ac:dyDescent="0.25">
      <c r="A77" s="73">
        <v>74</v>
      </c>
      <c r="B77" s="37" t="s">
        <v>490</v>
      </c>
      <c r="C77" s="28" t="s">
        <v>396</v>
      </c>
      <c r="D77" s="56">
        <v>1</v>
      </c>
      <c r="E77" s="76" t="s">
        <v>415</v>
      </c>
      <c r="F77" s="78">
        <f>690000*3.5%+690000</f>
        <v>714150</v>
      </c>
      <c r="G77" s="59">
        <f t="shared" si="3"/>
        <v>714150</v>
      </c>
      <c r="H77" s="28" t="s">
        <v>416</v>
      </c>
      <c r="I77" s="28" t="s">
        <v>39</v>
      </c>
      <c r="J77" s="28" t="s">
        <v>40</v>
      </c>
      <c r="K77" s="28" t="s">
        <v>533</v>
      </c>
    </row>
    <row r="78" spans="1:11" ht="24" x14ac:dyDescent="0.25">
      <c r="A78" s="74">
        <v>75</v>
      </c>
      <c r="B78" s="37" t="s">
        <v>491</v>
      </c>
      <c r="C78" s="28" t="s">
        <v>396</v>
      </c>
      <c r="D78" s="56">
        <v>1</v>
      </c>
      <c r="E78" s="76" t="s">
        <v>415</v>
      </c>
      <c r="F78" s="78">
        <f>690000*3.5%+690000</f>
        <v>714150</v>
      </c>
      <c r="G78" s="59">
        <f t="shared" si="3"/>
        <v>714150</v>
      </c>
      <c r="H78" s="28" t="s">
        <v>416</v>
      </c>
      <c r="I78" s="28" t="s">
        <v>39</v>
      </c>
      <c r="J78" s="28" t="s">
        <v>40</v>
      </c>
      <c r="K78" s="28" t="s">
        <v>533</v>
      </c>
    </row>
    <row r="79" spans="1:11" ht="24" x14ac:dyDescent="0.25">
      <c r="A79" s="74">
        <v>76</v>
      </c>
      <c r="B79" s="37" t="s">
        <v>492</v>
      </c>
      <c r="C79" s="28" t="s">
        <v>396</v>
      </c>
      <c r="D79" s="56">
        <v>1</v>
      </c>
      <c r="E79" s="76" t="s">
        <v>11</v>
      </c>
      <c r="F79" s="78">
        <f>220000*3.5%+220000</f>
        <v>227700</v>
      </c>
      <c r="G79" s="59">
        <f t="shared" si="3"/>
        <v>227700</v>
      </c>
      <c r="H79" s="28" t="s">
        <v>416</v>
      </c>
      <c r="I79" s="28" t="s">
        <v>39</v>
      </c>
      <c r="J79" s="28" t="s">
        <v>40</v>
      </c>
      <c r="K79" s="28" t="s">
        <v>533</v>
      </c>
    </row>
    <row r="80" spans="1:11" ht="24" x14ac:dyDescent="0.25">
      <c r="A80" s="73">
        <v>77</v>
      </c>
      <c r="B80" s="37" t="s">
        <v>493</v>
      </c>
      <c r="C80" s="28" t="s">
        <v>396</v>
      </c>
      <c r="D80" s="56">
        <v>1</v>
      </c>
      <c r="E80" s="76" t="s">
        <v>11</v>
      </c>
      <c r="F80" s="78">
        <f>280000*3.5%+280000</f>
        <v>289800</v>
      </c>
      <c r="G80" s="59">
        <f t="shared" si="3"/>
        <v>289800</v>
      </c>
      <c r="H80" s="28" t="s">
        <v>416</v>
      </c>
      <c r="I80" s="28" t="s">
        <v>39</v>
      </c>
      <c r="J80" s="28" t="s">
        <v>40</v>
      </c>
      <c r="K80" s="28" t="s">
        <v>533</v>
      </c>
    </row>
    <row r="81" spans="1:11" ht="24" x14ac:dyDescent="0.25">
      <c r="A81" s="74">
        <v>78</v>
      </c>
      <c r="B81" s="37" t="s">
        <v>494</v>
      </c>
      <c r="C81" s="28" t="s">
        <v>396</v>
      </c>
      <c r="D81" s="56">
        <v>1</v>
      </c>
      <c r="E81" s="76" t="s">
        <v>11</v>
      </c>
      <c r="F81" s="78">
        <f>48000*3.5%+48000</f>
        <v>49680</v>
      </c>
      <c r="G81" s="59">
        <f t="shared" si="3"/>
        <v>49680</v>
      </c>
      <c r="H81" s="28" t="s">
        <v>416</v>
      </c>
      <c r="I81" s="28" t="s">
        <v>39</v>
      </c>
      <c r="J81" s="28" t="s">
        <v>40</v>
      </c>
      <c r="K81" s="28" t="s">
        <v>533</v>
      </c>
    </row>
    <row r="82" spans="1:11" ht="24" x14ac:dyDescent="0.25">
      <c r="A82" s="74">
        <v>79</v>
      </c>
      <c r="B82" s="37" t="s">
        <v>495</v>
      </c>
      <c r="C82" s="28" t="s">
        <v>396</v>
      </c>
      <c r="D82" s="56">
        <v>1</v>
      </c>
      <c r="E82" s="76" t="s">
        <v>11</v>
      </c>
      <c r="F82" s="78">
        <f>65000*3.5%+65000</f>
        <v>67275</v>
      </c>
      <c r="G82" s="59">
        <f t="shared" si="3"/>
        <v>67275</v>
      </c>
      <c r="H82" s="28" t="s">
        <v>416</v>
      </c>
      <c r="I82" s="28" t="s">
        <v>39</v>
      </c>
      <c r="J82" s="28" t="s">
        <v>40</v>
      </c>
      <c r="K82" s="28" t="s">
        <v>533</v>
      </c>
    </row>
    <row r="83" spans="1:11" ht="24" x14ac:dyDescent="0.25">
      <c r="A83" s="73">
        <v>80</v>
      </c>
      <c r="B83" s="37" t="s">
        <v>496</v>
      </c>
      <c r="C83" s="28" t="s">
        <v>396</v>
      </c>
      <c r="D83" s="56">
        <v>1</v>
      </c>
      <c r="E83" s="76" t="s">
        <v>11</v>
      </c>
      <c r="F83" s="78">
        <f>198000*3.5%+198000</f>
        <v>204930</v>
      </c>
      <c r="G83" s="59">
        <f t="shared" si="3"/>
        <v>204930</v>
      </c>
      <c r="H83" s="28" t="s">
        <v>416</v>
      </c>
      <c r="I83" s="28" t="s">
        <v>39</v>
      </c>
      <c r="J83" s="28" t="s">
        <v>40</v>
      </c>
      <c r="K83" s="28" t="s">
        <v>533</v>
      </c>
    </row>
    <row r="84" spans="1:11" ht="24" x14ac:dyDescent="0.25">
      <c r="A84" s="74">
        <v>81</v>
      </c>
      <c r="B84" s="37" t="s">
        <v>497</v>
      </c>
      <c r="C84" s="28" t="s">
        <v>396</v>
      </c>
      <c r="D84" s="56">
        <v>1</v>
      </c>
      <c r="E84" s="76" t="s">
        <v>415</v>
      </c>
      <c r="F84" s="78">
        <f>55000*3.5%+55000</f>
        <v>56925</v>
      </c>
      <c r="G84" s="59">
        <f t="shared" si="3"/>
        <v>56925</v>
      </c>
      <c r="H84" s="28" t="s">
        <v>416</v>
      </c>
      <c r="I84" s="28" t="s">
        <v>39</v>
      </c>
      <c r="J84" s="28" t="s">
        <v>40</v>
      </c>
      <c r="K84" s="28" t="s">
        <v>533</v>
      </c>
    </row>
    <row r="85" spans="1:11" ht="24" x14ac:dyDescent="0.25">
      <c r="A85" s="74">
        <v>82</v>
      </c>
      <c r="B85" s="37" t="s">
        <v>498</v>
      </c>
      <c r="C85" s="28" t="s">
        <v>396</v>
      </c>
      <c r="D85" s="56">
        <v>1</v>
      </c>
      <c r="E85" s="76" t="s">
        <v>415</v>
      </c>
      <c r="F85" s="78">
        <f>86000*3.5%+86000</f>
        <v>89010</v>
      </c>
      <c r="G85" s="59">
        <f t="shared" si="3"/>
        <v>89010</v>
      </c>
      <c r="H85" s="28" t="s">
        <v>416</v>
      </c>
      <c r="I85" s="28" t="s">
        <v>39</v>
      </c>
      <c r="J85" s="28" t="s">
        <v>40</v>
      </c>
      <c r="K85" s="28" t="s">
        <v>533</v>
      </c>
    </row>
    <row r="86" spans="1:11" ht="24" x14ac:dyDescent="0.25">
      <c r="A86" s="73">
        <v>83</v>
      </c>
      <c r="B86" s="37" t="s">
        <v>499</v>
      </c>
      <c r="C86" s="28" t="s">
        <v>396</v>
      </c>
      <c r="D86" s="56">
        <v>1</v>
      </c>
      <c r="E86" s="76" t="s">
        <v>531</v>
      </c>
      <c r="F86" s="78">
        <f>28000*3.5%+28000</f>
        <v>28980</v>
      </c>
      <c r="G86" s="59">
        <f t="shared" si="3"/>
        <v>28980</v>
      </c>
      <c r="H86" s="28" t="s">
        <v>416</v>
      </c>
      <c r="I86" s="28" t="s">
        <v>39</v>
      </c>
      <c r="J86" s="28" t="s">
        <v>40</v>
      </c>
      <c r="K86" s="28" t="s">
        <v>533</v>
      </c>
    </row>
    <row r="87" spans="1:11" ht="24" x14ac:dyDescent="0.25">
      <c r="A87" s="74">
        <v>84</v>
      </c>
      <c r="B87" s="37" t="s">
        <v>500</v>
      </c>
      <c r="C87" s="28" t="s">
        <v>396</v>
      </c>
      <c r="D87" s="56">
        <v>1</v>
      </c>
      <c r="E87" s="76" t="s">
        <v>531</v>
      </c>
      <c r="F87" s="78">
        <f>430000*3.5%+430000</f>
        <v>445050</v>
      </c>
      <c r="G87" s="59">
        <f t="shared" si="3"/>
        <v>445050</v>
      </c>
      <c r="H87" s="28" t="s">
        <v>416</v>
      </c>
      <c r="I87" s="28" t="s">
        <v>39</v>
      </c>
      <c r="J87" s="28" t="s">
        <v>40</v>
      </c>
      <c r="K87" s="28" t="s">
        <v>533</v>
      </c>
    </row>
    <row r="88" spans="1:11" ht="24" x14ac:dyDescent="0.25">
      <c r="A88" s="74">
        <v>85</v>
      </c>
      <c r="B88" s="37" t="s">
        <v>501</v>
      </c>
      <c r="C88" s="28" t="s">
        <v>396</v>
      </c>
      <c r="D88" s="56">
        <v>1</v>
      </c>
      <c r="E88" s="76" t="s">
        <v>415</v>
      </c>
      <c r="F88" s="78">
        <f>400000*3.5%+400000</f>
        <v>414000</v>
      </c>
      <c r="G88" s="59">
        <f t="shared" si="3"/>
        <v>414000</v>
      </c>
      <c r="H88" s="28" t="s">
        <v>416</v>
      </c>
      <c r="I88" s="28" t="s">
        <v>39</v>
      </c>
      <c r="J88" s="28" t="s">
        <v>40</v>
      </c>
      <c r="K88" s="28" t="s">
        <v>533</v>
      </c>
    </row>
    <row r="89" spans="1:11" ht="24" x14ac:dyDescent="0.25">
      <c r="A89" s="73">
        <v>86</v>
      </c>
      <c r="B89" s="37" t="s">
        <v>502</v>
      </c>
      <c r="C89" s="28" t="s">
        <v>396</v>
      </c>
      <c r="D89" s="56">
        <v>1</v>
      </c>
      <c r="E89" s="76" t="s">
        <v>531</v>
      </c>
      <c r="F89" s="78">
        <f>42000*3.5%+42000</f>
        <v>43470</v>
      </c>
      <c r="G89" s="59">
        <f t="shared" si="3"/>
        <v>43470</v>
      </c>
      <c r="H89" s="28" t="s">
        <v>416</v>
      </c>
      <c r="I89" s="28" t="s">
        <v>39</v>
      </c>
      <c r="J89" s="28" t="s">
        <v>40</v>
      </c>
      <c r="K89" s="28" t="s">
        <v>533</v>
      </c>
    </row>
    <row r="90" spans="1:11" ht="24" x14ac:dyDescent="0.25">
      <c r="A90" s="74">
        <v>87</v>
      </c>
      <c r="B90" s="37" t="s">
        <v>503</v>
      </c>
      <c r="C90" s="28" t="s">
        <v>396</v>
      </c>
      <c r="D90" s="56">
        <v>1</v>
      </c>
      <c r="E90" s="76" t="s">
        <v>11</v>
      </c>
      <c r="F90" s="78">
        <f>38000*3.5%+38000</f>
        <v>39330</v>
      </c>
      <c r="G90" s="59">
        <f t="shared" si="3"/>
        <v>39330</v>
      </c>
      <c r="H90" s="28" t="s">
        <v>416</v>
      </c>
      <c r="I90" s="28" t="s">
        <v>39</v>
      </c>
      <c r="J90" s="28" t="s">
        <v>40</v>
      </c>
      <c r="K90" s="28" t="s">
        <v>533</v>
      </c>
    </row>
    <row r="91" spans="1:11" ht="24" x14ac:dyDescent="0.25">
      <c r="A91" s="74">
        <v>88</v>
      </c>
      <c r="B91" s="37" t="s">
        <v>504</v>
      </c>
      <c r="C91" s="28" t="s">
        <v>396</v>
      </c>
      <c r="D91" s="56">
        <v>1</v>
      </c>
      <c r="E91" s="76" t="s">
        <v>11</v>
      </c>
      <c r="F91" s="78">
        <f>40000*3.5%+40000</f>
        <v>41400</v>
      </c>
      <c r="G91" s="59">
        <f t="shared" si="3"/>
        <v>41400</v>
      </c>
      <c r="H91" s="28" t="s">
        <v>416</v>
      </c>
      <c r="I91" s="28" t="s">
        <v>39</v>
      </c>
      <c r="J91" s="28" t="s">
        <v>40</v>
      </c>
      <c r="K91" s="28" t="s">
        <v>533</v>
      </c>
    </row>
    <row r="92" spans="1:11" ht="24" x14ac:dyDescent="0.25">
      <c r="A92" s="73">
        <v>89</v>
      </c>
      <c r="B92" s="37" t="s">
        <v>502</v>
      </c>
      <c r="C92" s="28" t="s">
        <v>396</v>
      </c>
      <c r="D92" s="56">
        <v>1</v>
      </c>
      <c r="E92" s="76" t="s">
        <v>11</v>
      </c>
      <c r="F92" s="78">
        <f>42000*3.5%+42000</f>
        <v>43470</v>
      </c>
      <c r="G92" s="59">
        <f t="shared" si="3"/>
        <v>43470</v>
      </c>
      <c r="H92" s="28" t="s">
        <v>416</v>
      </c>
      <c r="I92" s="28" t="s">
        <v>39</v>
      </c>
      <c r="J92" s="28" t="s">
        <v>40</v>
      </c>
      <c r="K92" s="28" t="s">
        <v>533</v>
      </c>
    </row>
    <row r="93" spans="1:11" ht="24" x14ac:dyDescent="0.25">
      <c r="A93" s="74">
        <v>90</v>
      </c>
      <c r="B93" s="37" t="s">
        <v>505</v>
      </c>
      <c r="C93" s="28" t="s">
        <v>396</v>
      </c>
      <c r="D93" s="56">
        <v>1</v>
      </c>
      <c r="E93" s="76" t="s">
        <v>11</v>
      </c>
      <c r="F93" s="78">
        <f>39000*3.5%+39000</f>
        <v>40365</v>
      </c>
      <c r="G93" s="59">
        <f t="shared" si="3"/>
        <v>40365</v>
      </c>
      <c r="H93" s="28" t="s">
        <v>416</v>
      </c>
      <c r="I93" s="28" t="s">
        <v>39</v>
      </c>
      <c r="J93" s="28" t="s">
        <v>40</v>
      </c>
      <c r="K93" s="28" t="s">
        <v>533</v>
      </c>
    </row>
    <row r="94" spans="1:11" ht="24" x14ac:dyDescent="0.25">
      <c r="A94" s="74">
        <v>91</v>
      </c>
      <c r="B94" s="37" t="s">
        <v>506</v>
      </c>
      <c r="C94" s="28" t="s">
        <v>396</v>
      </c>
      <c r="D94" s="56">
        <v>1</v>
      </c>
      <c r="E94" s="76" t="s">
        <v>531</v>
      </c>
      <c r="F94" s="78">
        <f>1000*3.5%+1000</f>
        <v>1035</v>
      </c>
      <c r="G94" s="59">
        <f t="shared" si="3"/>
        <v>1035</v>
      </c>
      <c r="H94" s="28" t="s">
        <v>416</v>
      </c>
      <c r="I94" s="28" t="s">
        <v>39</v>
      </c>
      <c r="J94" s="28" t="s">
        <v>40</v>
      </c>
      <c r="K94" s="28" t="s">
        <v>533</v>
      </c>
    </row>
    <row r="95" spans="1:11" ht="24" x14ac:dyDescent="0.25">
      <c r="A95" s="73">
        <v>92</v>
      </c>
      <c r="B95" s="37" t="s">
        <v>507</v>
      </c>
      <c r="C95" s="28" t="s">
        <v>396</v>
      </c>
      <c r="D95" s="56">
        <v>1</v>
      </c>
      <c r="E95" s="76" t="s">
        <v>531</v>
      </c>
      <c r="F95" s="78">
        <f>100000*3.5%+100000</f>
        <v>103500</v>
      </c>
      <c r="G95" s="59">
        <f t="shared" si="3"/>
        <v>103500</v>
      </c>
      <c r="H95" s="28" t="s">
        <v>416</v>
      </c>
      <c r="I95" s="28" t="s">
        <v>39</v>
      </c>
      <c r="J95" s="28" t="s">
        <v>40</v>
      </c>
      <c r="K95" s="28" t="s">
        <v>533</v>
      </c>
    </row>
    <row r="96" spans="1:11" ht="24" x14ac:dyDescent="0.25">
      <c r="A96" s="74">
        <v>93</v>
      </c>
      <c r="B96" s="37" t="s">
        <v>508</v>
      </c>
      <c r="C96" s="28" t="s">
        <v>396</v>
      </c>
      <c r="D96" s="56">
        <v>1</v>
      </c>
      <c r="E96" s="76" t="s">
        <v>531</v>
      </c>
      <c r="F96" s="78">
        <f>13000*3.5%+13000</f>
        <v>13455</v>
      </c>
      <c r="G96" s="59">
        <f t="shared" si="3"/>
        <v>13455</v>
      </c>
      <c r="H96" s="28" t="s">
        <v>416</v>
      </c>
      <c r="I96" s="28" t="s">
        <v>39</v>
      </c>
      <c r="J96" s="28" t="s">
        <v>40</v>
      </c>
      <c r="K96" s="28" t="s">
        <v>533</v>
      </c>
    </row>
    <row r="97" spans="1:11" ht="24" x14ac:dyDescent="0.25">
      <c r="A97" s="74">
        <v>94</v>
      </c>
      <c r="B97" s="37" t="s">
        <v>509</v>
      </c>
      <c r="C97" s="28" t="s">
        <v>396</v>
      </c>
      <c r="D97" s="56">
        <v>1</v>
      </c>
      <c r="E97" s="76" t="s">
        <v>531</v>
      </c>
      <c r="F97" s="78">
        <f>17000*3.5%+17000</f>
        <v>17595</v>
      </c>
      <c r="G97" s="59">
        <f t="shared" si="3"/>
        <v>17595</v>
      </c>
      <c r="H97" s="28" t="s">
        <v>416</v>
      </c>
      <c r="I97" s="28" t="s">
        <v>39</v>
      </c>
      <c r="J97" s="28" t="s">
        <v>40</v>
      </c>
      <c r="K97" s="28" t="s">
        <v>533</v>
      </c>
    </row>
    <row r="98" spans="1:11" ht="24" x14ac:dyDescent="0.25">
      <c r="A98" s="73">
        <v>95</v>
      </c>
      <c r="B98" s="37" t="s">
        <v>510</v>
      </c>
      <c r="C98" s="28" t="s">
        <v>396</v>
      </c>
      <c r="D98" s="56">
        <v>1</v>
      </c>
      <c r="E98" s="76" t="s">
        <v>531</v>
      </c>
      <c r="F98" s="80">
        <f>400*3.5%+400</f>
        <v>414</v>
      </c>
      <c r="G98" s="59">
        <f t="shared" si="3"/>
        <v>414</v>
      </c>
      <c r="H98" s="28" t="s">
        <v>416</v>
      </c>
      <c r="I98" s="28" t="s">
        <v>39</v>
      </c>
      <c r="J98" s="28" t="s">
        <v>40</v>
      </c>
      <c r="K98" s="28" t="s">
        <v>533</v>
      </c>
    </row>
    <row r="99" spans="1:11" ht="24" x14ac:dyDescent="0.25">
      <c r="A99" s="74">
        <v>96</v>
      </c>
      <c r="B99" s="37" t="s">
        <v>511</v>
      </c>
      <c r="C99" s="28" t="s">
        <v>396</v>
      </c>
      <c r="D99" s="56">
        <v>1</v>
      </c>
      <c r="E99" s="76" t="s">
        <v>531</v>
      </c>
      <c r="F99" s="80">
        <f>300*3.5%+300</f>
        <v>310.5</v>
      </c>
      <c r="G99" s="59">
        <f t="shared" si="3"/>
        <v>310.5</v>
      </c>
      <c r="H99" s="28" t="s">
        <v>416</v>
      </c>
      <c r="I99" s="28" t="s">
        <v>39</v>
      </c>
      <c r="J99" s="28" t="s">
        <v>40</v>
      </c>
      <c r="K99" s="28" t="s">
        <v>533</v>
      </c>
    </row>
    <row r="100" spans="1:11" ht="24" x14ac:dyDescent="0.25">
      <c r="A100" s="74">
        <v>97</v>
      </c>
      <c r="B100" s="37" t="s">
        <v>512</v>
      </c>
      <c r="C100" s="28" t="s">
        <v>396</v>
      </c>
      <c r="D100" s="56">
        <v>1</v>
      </c>
      <c r="E100" s="76" t="s">
        <v>531</v>
      </c>
      <c r="F100" s="80">
        <f t="shared" ref="F100:F101" si="4">400*3.5%+400</f>
        <v>414</v>
      </c>
      <c r="G100" s="59">
        <f t="shared" si="3"/>
        <v>414</v>
      </c>
      <c r="H100" s="28" t="s">
        <v>416</v>
      </c>
      <c r="I100" s="28" t="s">
        <v>39</v>
      </c>
      <c r="J100" s="28" t="s">
        <v>40</v>
      </c>
      <c r="K100" s="28" t="s">
        <v>533</v>
      </c>
    </row>
    <row r="101" spans="1:11" ht="24" x14ac:dyDescent="0.25">
      <c r="A101" s="73">
        <v>98</v>
      </c>
      <c r="B101" s="37" t="s">
        <v>513</v>
      </c>
      <c r="C101" s="28" t="s">
        <v>396</v>
      </c>
      <c r="D101" s="56">
        <v>1</v>
      </c>
      <c r="E101" s="76" t="s">
        <v>531</v>
      </c>
      <c r="F101" s="80">
        <f t="shared" si="4"/>
        <v>414</v>
      </c>
      <c r="G101" s="59">
        <f t="shared" si="3"/>
        <v>414</v>
      </c>
      <c r="H101" s="28" t="s">
        <v>416</v>
      </c>
      <c r="I101" s="28" t="s">
        <v>39</v>
      </c>
      <c r="J101" s="28" t="s">
        <v>40</v>
      </c>
      <c r="K101" s="28" t="s">
        <v>533</v>
      </c>
    </row>
    <row r="102" spans="1:11" ht="24" x14ac:dyDescent="0.25">
      <c r="A102" s="74">
        <v>99</v>
      </c>
      <c r="B102" s="37" t="s">
        <v>514</v>
      </c>
      <c r="C102" s="28" t="s">
        <v>396</v>
      </c>
      <c r="D102" s="56">
        <v>1</v>
      </c>
      <c r="E102" s="76" t="s">
        <v>531</v>
      </c>
      <c r="F102" s="78">
        <f>3000*3.5%+3000</f>
        <v>3105</v>
      </c>
      <c r="G102" s="59">
        <f t="shared" si="3"/>
        <v>3105</v>
      </c>
      <c r="H102" s="28" t="s">
        <v>416</v>
      </c>
      <c r="I102" s="28" t="s">
        <v>39</v>
      </c>
      <c r="J102" s="28" t="s">
        <v>40</v>
      </c>
      <c r="K102" s="28" t="s">
        <v>533</v>
      </c>
    </row>
    <row r="103" spans="1:11" ht="24" x14ac:dyDescent="0.25">
      <c r="A103" s="74">
        <v>100</v>
      </c>
      <c r="B103" s="37" t="s">
        <v>515</v>
      </c>
      <c r="C103" s="28" t="s">
        <v>396</v>
      </c>
      <c r="D103" s="56">
        <v>1</v>
      </c>
      <c r="E103" s="76" t="s">
        <v>531</v>
      </c>
      <c r="F103" s="78">
        <f>4000*3.5%+4000</f>
        <v>4140</v>
      </c>
      <c r="G103" s="59">
        <f t="shared" si="3"/>
        <v>4140</v>
      </c>
      <c r="H103" s="28" t="s">
        <v>416</v>
      </c>
      <c r="I103" s="28" t="s">
        <v>39</v>
      </c>
      <c r="J103" s="28" t="s">
        <v>40</v>
      </c>
      <c r="K103" s="28" t="s">
        <v>533</v>
      </c>
    </row>
    <row r="104" spans="1:11" ht="24" x14ac:dyDescent="0.25">
      <c r="A104" s="73">
        <v>101</v>
      </c>
      <c r="B104" s="37" t="s">
        <v>516</v>
      </c>
      <c r="C104" s="28" t="s">
        <v>396</v>
      </c>
      <c r="D104" s="56">
        <v>1</v>
      </c>
      <c r="E104" s="76" t="s">
        <v>531</v>
      </c>
      <c r="F104" s="78">
        <f>9000*3.5%+9000</f>
        <v>9315</v>
      </c>
      <c r="G104" s="59">
        <f t="shared" si="3"/>
        <v>9315</v>
      </c>
      <c r="H104" s="28" t="s">
        <v>416</v>
      </c>
      <c r="I104" s="28" t="s">
        <v>39</v>
      </c>
      <c r="J104" s="28" t="s">
        <v>40</v>
      </c>
      <c r="K104" s="28" t="s">
        <v>533</v>
      </c>
    </row>
    <row r="105" spans="1:11" ht="24" x14ac:dyDescent="0.25">
      <c r="A105" s="74">
        <v>102</v>
      </c>
      <c r="B105" s="37" t="s">
        <v>517</v>
      </c>
      <c r="C105" s="28" t="s">
        <v>396</v>
      </c>
      <c r="D105" s="56">
        <v>1</v>
      </c>
      <c r="E105" s="76" t="s">
        <v>531</v>
      </c>
      <c r="F105" s="78">
        <f>1300*3.5%+1300</f>
        <v>1345.5</v>
      </c>
      <c r="G105" s="59">
        <f t="shared" si="3"/>
        <v>1345.5</v>
      </c>
      <c r="H105" s="28" t="s">
        <v>416</v>
      </c>
      <c r="I105" s="28" t="s">
        <v>39</v>
      </c>
      <c r="J105" s="28" t="s">
        <v>40</v>
      </c>
      <c r="K105" s="28" t="s">
        <v>533</v>
      </c>
    </row>
    <row r="106" spans="1:11" ht="24" x14ac:dyDescent="0.25">
      <c r="A106" s="74">
        <v>103</v>
      </c>
      <c r="B106" s="37" t="s">
        <v>518</v>
      </c>
      <c r="C106" s="28" t="s">
        <v>396</v>
      </c>
      <c r="D106" s="56">
        <v>1</v>
      </c>
      <c r="E106" s="76" t="s">
        <v>11</v>
      </c>
      <c r="F106" s="78">
        <f>5000*3.5%+5000</f>
        <v>5175</v>
      </c>
      <c r="G106" s="59">
        <f t="shared" si="3"/>
        <v>5175</v>
      </c>
      <c r="H106" s="28" t="s">
        <v>416</v>
      </c>
      <c r="I106" s="28" t="s">
        <v>39</v>
      </c>
      <c r="J106" s="28" t="s">
        <v>40</v>
      </c>
      <c r="K106" s="28" t="s">
        <v>533</v>
      </c>
    </row>
    <row r="107" spans="1:11" ht="24" x14ac:dyDescent="0.25">
      <c r="A107" s="73">
        <v>104</v>
      </c>
      <c r="B107" s="37" t="s">
        <v>519</v>
      </c>
      <c r="C107" s="28" t="s">
        <v>396</v>
      </c>
      <c r="D107" s="56">
        <v>1</v>
      </c>
      <c r="E107" s="76" t="s">
        <v>11</v>
      </c>
      <c r="F107" s="78">
        <f>6000*3.5%+6000</f>
        <v>6210</v>
      </c>
      <c r="G107" s="59">
        <f t="shared" si="3"/>
        <v>6210</v>
      </c>
      <c r="H107" s="28" t="s">
        <v>416</v>
      </c>
      <c r="I107" s="28" t="s">
        <v>39</v>
      </c>
      <c r="J107" s="28" t="s">
        <v>40</v>
      </c>
      <c r="K107" s="28" t="s">
        <v>533</v>
      </c>
    </row>
    <row r="108" spans="1:11" ht="24" x14ac:dyDescent="0.25">
      <c r="A108" s="74">
        <v>105</v>
      </c>
      <c r="B108" s="37" t="s">
        <v>520</v>
      </c>
      <c r="C108" s="28" t="s">
        <v>396</v>
      </c>
      <c r="D108" s="56">
        <v>1</v>
      </c>
      <c r="E108" s="76" t="s">
        <v>11</v>
      </c>
      <c r="F108" s="78">
        <f>8500*3.5%+8500</f>
        <v>8797.5</v>
      </c>
      <c r="G108" s="59">
        <f t="shared" si="3"/>
        <v>8797.5</v>
      </c>
      <c r="H108" s="28" t="s">
        <v>416</v>
      </c>
      <c r="I108" s="28" t="s">
        <v>39</v>
      </c>
      <c r="J108" s="28" t="s">
        <v>40</v>
      </c>
      <c r="K108" s="28" t="s">
        <v>533</v>
      </c>
    </row>
    <row r="109" spans="1:11" ht="24" x14ac:dyDescent="0.25">
      <c r="A109" s="74">
        <v>106</v>
      </c>
      <c r="B109" s="37" t="s">
        <v>521</v>
      </c>
      <c r="C109" s="28" t="s">
        <v>396</v>
      </c>
      <c r="D109" s="56">
        <v>1</v>
      </c>
      <c r="E109" s="76" t="s">
        <v>11</v>
      </c>
      <c r="F109" s="78">
        <f>12000*3.5%+12000</f>
        <v>12420</v>
      </c>
      <c r="G109" s="59">
        <f t="shared" si="3"/>
        <v>12420</v>
      </c>
      <c r="H109" s="28" t="s">
        <v>416</v>
      </c>
      <c r="I109" s="28" t="s">
        <v>39</v>
      </c>
      <c r="J109" s="28" t="s">
        <v>40</v>
      </c>
      <c r="K109" s="28" t="s">
        <v>533</v>
      </c>
    </row>
    <row r="110" spans="1:11" ht="24" x14ac:dyDescent="0.25">
      <c r="A110" s="73">
        <v>107</v>
      </c>
      <c r="B110" s="50" t="s">
        <v>522</v>
      </c>
      <c r="C110" s="28" t="s">
        <v>396</v>
      </c>
      <c r="D110" s="56">
        <v>1</v>
      </c>
      <c r="E110" s="76" t="s">
        <v>11</v>
      </c>
      <c r="F110" s="78">
        <f>49000*3.5%+49000</f>
        <v>50715</v>
      </c>
      <c r="G110" s="59">
        <f t="shared" si="3"/>
        <v>50715</v>
      </c>
      <c r="H110" s="28" t="s">
        <v>416</v>
      </c>
      <c r="I110" s="28" t="s">
        <v>39</v>
      </c>
      <c r="J110" s="28" t="s">
        <v>40</v>
      </c>
      <c r="K110" s="28" t="s">
        <v>533</v>
      </c>
    </row>
    <row r="111" spans="1:11" ht="24" x14ac:dyDescent="0.25">
      <c r="A111" s="74">
        <v>108</v>
      </c>
      <c r="B111" s="37" t="s">
        <v>523</v>
      </c>
      <c r="C111" s="28" t="s">
        <v>396</v>
      </c>
      <c r="D111" s="56">
        <v>1</v>
      </c>
      <c r="E111" s="76" t="s">
        <v>531</v>
      </c>
      <c r="F111" s="78">
        <f>7000*3.5%+7000</f>
        <v>7245</v>
      </c>
      <c r="G111" s="59">
        <f t="shared" si="3"/>
        <v>7245</v>
      </c>
      <c r="H111" s="28" t="s">
        <v>416</v>
      </c>
      <c r="I111" s="28" t="s">
        <v>39</v>
      </c>
      <c r="J111" s="28" t="s">
        <v>40</v>
      </c>
      <c r="K111" s="28" t="s">
        <v>533</v>
      </c>
    </row>
    <row r="112" spans="1:11" ht="24" x14ac:dyDescent="0.25">
      <c r="A112" s="74">
        <v>109</v>
      </c>
      <c r="B112" s="37" t="s">
        <v>524</v>
      </c>
      <c r="C112" s="28" t="s">
        <v>396</v>
      </c>
      <c r="D112" s="56">
        <v>1</v>
      </c>
      <c r="E112" s="76" t="s">
        <v>531</v>
      </c>
      <c r="F112" s="78">
        <f>5500*3.5%+5500</f>
        <v>5692.5</v>
      </c>
      <c r="G112" s="59">
        <f t="shared" si="3"/>
        <v>5692.5</v>
      </c>
      <c r="H112" s="28" t="s">
        <v>416</v>
      </c>
      <c r="I112" s="28" t="s">
        <v>39</v>
      </c>
      <c r="J112" s="28" t="s">
        <v>40</v>
      </c>
      <c r="K112" s="28" t="s">
        <v>533</v>
      </c>
    </row>
    <row r="113" spans="1:11" ht="24" x14ac:dyDescent="0.25">
      <c r="A113" s="73">
        <v>110</v>
      </c>
      <c r="B113" s="37" t="s">
        <v>525</v>
      </c>
      <c r="C113" s="28" t="s">
        <v>396</v>
      </c>
      <c r="D113" s="56">
        <v>1</v>
      </c>
      <c r="E113" s="76" t="s">
        <v>531</v>
      </c>
      <c r="F113" s="78">
        <f>2500*3.5%+2500</f>
        <v>2587.5</v>
      </c>
      <c r="G113" s="59">
        <f t="shared" si="3"/>
        <v>2587.5</v>
      </c>
      <c r="H113" s="28" t="s">
        <v>416</v>
      </c>
      <c r="I113" s="28" t="s">
        <v>39</v>
      </c>
      <c r="J113" s="28" t="s">
        <v>40</v>
      </c>
      <c r="K113" s="28" t="s">
        <v>533</v>
      </c>
    </row>
    <row r="114" spans="1:11" ht="24" x14ac:dyDescent="0.25">
      <c r="A114" s="74">
        <v>111</v>
      </c>
      <c r="B114" s="37" t="s">
        <v>526</v>
      </c>
      <c r="C114" s="28" t="s">
        <v>396</v>
      </c>
      <c r="D114" s="56">
        <v>1</v>
      </c>
      <c r="E114" s="76" t="s">
        <v>531</v>
      </c>
      <c r="F114" s="78">
        <f>4500*3.5%+4500</f>
        <v>4657.5</v>
      </c>
      <c r="G114" s="59">
        <f t="shared" si="3"/>
        <v>4657.5</v>
      </c>
      <c r="H114" s="28" t="s">
        <v>416</v>
      </c>
      <c r="I114" s="28" t="s">
        <v>39</v>
      </c>
      <c r="J114" s="28" t="s">
        <v>40</v>
      </c>
      <c r="K114" s="28" t="s">
        <v>533</v>
      </c>
    </row>
    <row r="115" spans="1:11" ht="24" x14ac:dyDescent="0.25">
      <c r="A115" s="74">
        <v>112</v>
      </c>
      <c r="B115" s="37" t="s">
        <v>527</v>
      </c>
      <c r="C115" s="28" t="s">
        <v>396</v>
      </c>
      <c r="D115" s="56">
        <v>1</v>
      </c>
      <c r="E115" s="76" t="s">
        <v>531</v>
      </c>
      <c r="F115" s="78">
        <f>8000*3.5%+8000</f>
        <v>8280</v>
      </c>
      <c r="G115" s="59">
        <f t="shared" si="3"/>
        <v>8280</v>
      </c>
      <c r="H115" s="28" t="s">
        <v>416</v>
      </c>
      <c r="I115" s="28" t="s">
        <v>39</v>
      </c>
      <c r="J115" s="28" t="s">
        <v>40</v>
      </c>
      <c r="K115" s="28" t="s">
        <v>533</v>
      </c>
    </row>
    <row r="116" spans="1:11" ht="24" x14ac:dyDescent="0.25">
      <c r="A116" s="73">
        <v>113</v>
      </c>
      <c r="B116" s="37" t="s">
        <v>528</v>
      </c>
      <c r="C116" s="28" t="s">
        <v>396</v>
      </c>
      <c r="D116" s="56">
        <v>1</v>
      </c>
      <c r="E116" s="76" t="s">
        <v>530</v>
      </c>
      <c r="F116" s="78">
        <f>68000*3.5%+68000</f>
        <v>70380</v>
      </c>
      <c r="G116" s="59">
        <f t="shared" si="3"/>
        <v>70380</v>
      </c>
      <c r="H116" s="28" t="s">
        <v>416</v>
      </c>
      <c r="I116" s="28" t="s">
        <v>39</v>
      </c>
      <c r="J116" s="28" t="s">
        <v>40</v>
      </c>
      <c r="K116" s="28" t="s">
        <v>533</v>
      </c>
    </row>
    <row r="117" spans="1:11" ht="24" x14ac:dyDescent="0.25">
      <c r="A117" s="74">
        <v>114</v>
      </c>
      <c r="B117" s="37" t="s">
        <v>529</v>
      </c>
      <c r="C117" s="28" t="s">
        <v>396</v>
      </c>
      <c r="D117" s="56">
        <v>1</v>
      </c>
      <c r="E117" s="76" t="s">
        <v>530</v>
      </c>
      <c r="F117" s="78">
        <f>85000*3.5%+85000</f>
        <v>87975</v>
      </c>
      <c r="G117" s="59">
        <f t="shared" si="3"/>
        <v>87975</v>
      </c>
      <c r="H117" s="28" t="s">
        <v>416</v>
      </c>
      <c r="I117" s="28" t="s">
        <v>39</v>
      </c>
      <c r="J117" s="28" t="s">
        <v>40</v>
      </c>
      <c r="K117" s="28" t="s">
        <v>533</v>
      </c>
    </row>
    <row r="118" spans="1:11" x14ac:dyDescent="0.25">
      <c r="G118" s="32" t="s">
        <v>12</v>
      </c>
    </row>
  </sheetData>
  <mergeCells count="3">
    <mergeCell ref="A1:K1"/>
    <mergeCell ref="A2:D2"/>
    <mergeCell ref="H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J9" sqref="J9"/>
    </sheetView>
  </sheetViews>
  <sheetFormatPr baseColWidth="10" defaultRowHeight="15" x14ac:dyDescent="0.25"/>
  <cols>
    <col min="1" max="1" width="7" customWidth="1"/>
    <col min="2" max="2" width="24.5703125" customWidth="1"/>
    <col min="5" max="5" width="8.42578125" customWidth="1"/>
    <col min="6" max="6" width="9.7109375" customWidth="1"/>
    <col min="11" max="11" width="23.5703125" customWidth="1"/>
  </cols>
  <sheetData>
    <row r="1" spans="1:11" ht="15.75" x14ac:dyDescent="0.25">
      <c r="A1" s="220" t="s">
        <v>727</v>
      </c>
      <c r="B1" s="221"/>
      <c r="C1" s="221"/>
      <c r="D1" s="221"/>
      <c r="E1" s="221"/>
      <c r="F1" s="221"/>
      <c r="G1" s="221"/>
      <c r="H1" s="221"/>
      <c r="I1" s="221"/>
      <c r="J1" s="221"/>
      <c r="K1" s="222"/>
    </row>
    <row r="2" spans="1:11" ht="15.75" x14ac:dyDescent="0.25">
      <c r="A2" s="223" t="s">
        <v>626</v>
      </c>
      <c r="B2" s="224"/>
      <c r="C2" s="224"/>
      <c r="D2" s="224"/>
      <c r="E2" s="224"/>
      <c r="F2" s="62"/>
      <c r="G2" s="62"/>
      <c r="H2" s="225" t="s">
        <v>1078</v>
      </c>
      <c r="I2" s="225"/>
      <c r="J2" s="225"/>
      <c r="K2" s="226"/>
    </row>
    <row r="3" spans="1:11" ht="22.5" x14ac:dyDescent="0.25">
      <c r="A3" s="152" t="s">
        <v>0</v>
      </c>
      <c r="B3" s="153" t="s">
        <v>618</v>
      </c>
      <c r="C3" s="153" t="s">
        <v>2</v>
      </c>
      <c r="D3" s="153" t="s">
        <v>4</v>
      </c>
      <c r="E3" s="153" t="s">
        <v>621</v>
      </c>
      <c r="F3" s="153" t="s">
        <v>619</v>
      </c>
      <c r="G3" s="153" t="s">
        <v>1076</v>
      </c>
      <c r="H3" s="153" t="s">
        <v>625</v>
      </c>
      <c r="I3" s="153" t="s">
        <v>624</v>
      </c>
      <c r="J3" s="159" t="s">
        <v>8</v>
      </c>
      <c r="K3" s="159" t="s">
        <v>10</v>
      </c>
    </row>
    <row r="4" spans="1:11" ht="60" x14ac:dyDescent="0.25">
      <c r="A4" s="35">
        <v>1</v>
      </c>
      <c r="B4" s="36" t="s">
        <v>683</v>
      </c>
      <c r="C4" s="36" t="s">
        <v>627</v>
      </c>
      <c r="D4" s="36" t="s">
        <v>912</v>
      </c>
      <c r="E4" s="36">
        <v>1</v>
      </c>
      <c r="F4" s="45">
        <v>40000000</v>
      </c>
      <c r="G4" s="45">
        <f>E4*F4</f>
        <v>40000000</v>
      </c>
      <c r="H4" s="36" t="s">
        <v>535</v>
      </c>
      <c r="I4" s="36" t="s">
        <v>536</v>
      </c>
      <c r="J4" s="36" t="s">
        <v>40</v>
      </c>
      <c r="K4" s="36" t="s">
        <v>628</v>
      </c>
    </row>
    <row r="5" spans="1:11" x14ac:dyDescent="0.25">
      <c r="A5" s="1"/>
      <c r="B5" s="1" t="s">
        <v>603</v>
      </c>
      <c r="C5" s="1"/>
      <c r="D5" s="1"/>
      <c r="E5" s="1"/>
      <c r="F5" s="1"/>
      <c r="G5" s="26">
        <v>40000000</v>
      </c>
      <c r="H5" s="1"/>
      <c r="I5" s="1"/>
      <c r="J5" s="1"/>
      <c r="K5" s="1"/>
    </row>
    <row r="6" spans="1:11" x14ac:dyDescent="0.25">
      <c r="A6" s="12"/>
      <c r="B6" s="12"/>
      <c r="C6" s="12"/>
      <c r="D6" s="12"/>
      <c r="E6" s="12"/>
      <c r="F6" s="12"/>
      <c r="G6" s="12"/>
      <c r="H6" s="12"/>
      <c r="I6" s="12"/>
      <c r="J6" s="12"/>
      <c r="K6" s="12"/>
    </row>
  </sheetData>
  <mergeCells count="3">
    <mergeCell ref="A1:K1"/>
    <mergeCell ref="A2:E2"/>
    <mergeCell ref="H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43</vt:i4>
      </vt:variant>
    </vt:vector>
  </HeadingPairs>
  <TitlesOfParts>
    <vt:vector size="43" baseType="lpstr">
      <vt:lpstr>201490 IMPRESOS Y SUSCRIPCIONES</vt:lpstr>
      <vt:lpstr>201590 BIENESTAR SOCIAL</vt:lpstr>
      <vt:lpstr>2011190 EQUIPOS PROCE. DATOS</vt:lpstr>
      <vt:lpstr>2011290 MUEBLES Y ENSERES</vt:lpstr>
      <vt:lpstr>2011390 EQUIPOS Y ACC. COMUN.</vt:lpstr>
      <vt:lpstr>2011490 EQUIP. Y MAQUI. OFICINA</vt:lpstr>
      <vt:lpstr>2011590 SISTEMA DE SEGURIDAD</vt:lpstr>
      <vt:lpstr>2012190 MATERIALES ELECTRICOS</vt:lpstr>
      <vt:lpstr>2012290 COMBUSTIBLE</vt:lpstr>
      <vt:lpstr>2012390 PAPEL. Y ELEMEN. OFIC.</vt:lpstr>
      <vt:lpstr>2012490 CINTAS TONNER CARTUCHO</vt:lpstr>
      <vt:lpstr>2012590 ELEMENTOS DE ASEO</vt:lpstr>
      <vt:lpstr>DOTACIÓN ADTIVA</vt:lpstr>
      <vt:lpstr>2012790 HERRAMIENTAS Y ACCES.</vt:lpstr>
      <vt:lpstr>2013190 MANTENIMIENTO GENERAL</vt:lpstr>
      <vt:lpstr>2013290 REPUESTOS VARIOS</vt:lpstr>
      <vt:lpstr>2021090 OTROS GASTOS POR SERVIC</vt:lpstr>
      <vt:lpstr>2021190 GASTOS DESPLAZAMIENTOS </vt:lpstr>
      <vt:lpstr>202390 ARRENDAMIENTOS</vt:lpstr>
      <vt:lpstr>202690 COMUNI Y TRANSPORTE</vt:lpstr>
      <vt:lpstr>202790 SEGUROS</vt:lpstr>
      <vt:lpstr>202890 BIENESTAR SOCIAL</vt:lpstr>
      <vt:lpstr>2021390 VEHICULOS</vt:lpstr>
      <vt:lpstr>2021690 OTROS MANTENIMIENTOS</vt:lpstr>
      <vt:lpstr>2021790 CELADURIA Y ASEO</vt:lpstr>
      <vt:lpstr>2022190 SERVICIOS PUBLICOS</vt:lpstr>
      <vt:lpstr>2022290 INTERNET</vt:lpstr>
      <vt:lpstr>2024190 VIATICOS</vt:lpstr>
      <vt:lpstr>2024290 GASTOS DE VIAJE</vt:lpstr>
      <vt:lpstr>2025190 PUBLICACIONES</vt:lpstr>
      <vt:lpstr>2025290 FOTOCOPIAS</vt:lpstr>
      <vt:lpstr>2025490 IMPRESOS</vt:lpstr>
      <vt:lpstr>301590 EVENTOS ACT. ESTUDIANTIL</vt:lpstr>
      <vt:lpstr>301990 FONDO BIENESTAR SOCIAL</vt:lpstr>
      <vt:lpstr>3012 AREA PROMOCION SOCIOECONOM</vt:lpstr>
      <vt:lpstr>3014 SALUD OCUPACIONAL</vt:lpstr>
      <vt:lpstr>PRACTICAS ACADEMICAS</vt:lpstr>
      <vt:lpstr>OTRAS TRANSFERENCIAS</vt:lpstr>
      <vt:lpstr>111 INVERSIÓN</vt:lpstr>
      <vt:lpstr>2011 INVERSIÓN </vt:lpstr>
      <vt:lpstr>40190 GRANJA EXPERIMENTAL</vt:lpstr>
      <vt:lpstr>Hoja1</vt:lpstr>
      <vt:lpstr>Hoja2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Alejandra</cp:lastModifiedBy>
  <cp:lastPrinted>2016-09-01T15:41:30Z</cp:lastPrinted>
  <dcterms:created xsi:type="dcterms:W3CDTF">2016-04-30T13:25:37Z</dcterms:created>
  <dcterms:modified xsi:type="dcterms:W3CDTF">2018-01-31T23:03:56Z</dcterms:modified>
</cp:coreProperties>
</file>