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75" windowWidth="28515" windowHeight="12075" firstSheet="15" activeTab="20"/>
  </bookViews>
  <sheets>
    <sheet name="IMPRESOS Y SUSCRIPCIONES" sheetId="23" r:id="rId1"/>
    <sheet name="EQUIPOS PROCE. DATOS" sheetId="1" r:id="rId2"/>
    <sheet name="MUEBLES Y ENSERES II" sheetId="38" r:id="rId3"/>
    <sheet name="EQUIPOS Y ACCESORIOS DE COMUN." sheetId="2" r:id="rId4"/>
    <sheet name="EQUIPOS Y MAQUINAS DE OFICINA I" sheetId="34" r:id="rId5"/>
    <sheet name="SISTEMA DE SEGURIDAD II" sheetId="35" r:id="rId6"/>
    <sheet name="MATERIALES ELECTRICOS 11" sheetId="36" r:id="rId7"/>
    <sheet name="COMBUSTIBLE II" sheetId="37" r:id="rId8"/>
    <sheet name="PAPELERIA Y ELEMENOS DE OFIC." sheetId="39" r:id="rId9"/>
    <sheet name="TITAS TONNER Y CARTUCHOS" sheetId="5" r:id="rId10"/>
    <sheet name="ELEMENTOS DE ASEO." sheetId="40" r:id="rId11"/>
    <sheet name="DOTACIÓN ADTIVA" sheetId="41" r:id="rId12"/>
    <sheet name="HERRAMIENTAS Y ACCES." sheetId="42" r:id="rId13"/>
    <sheet name="MANTENIMIENTO GENERAL" sheetId="43" r:id="rId14"/>
    <sheet name="REPUESTOS VARIOS II" sheetId="45" r:id="rId15"/>
    <sheet name="VEHICULOS II" sheetId="46" r:id="rId16"/>
    <sheet name="OTROS MANTENIMIENTOS II" sheetId="47" r:id="rId17"/>
    <sheet name="CONTRATO DE CELADURIA Y ASEO" sheetId="31" r:id="rId18"/>
    <sheet name="practicas acade. " sheetId="48" r:id="rId19"/>
    <sheet name="OTRAS TRANSFERENCIAS" sheetId="49" r:id="rId20"/>
    <sheet name="INVERSIÓN" sheetId="22" r:id="rId21"/>
    <sheet name="Hoja3" sheetId="24" r:id="rId22"/>
  </sheets>
  <calcPr calcId="144525"/>
</workbook>
</file>

<file path=xl/calcChain.xml><?xml version="1.0" encoding="utf-8"?>
<calcChain xmlns="http://schemas.openxmlformats.org/spreadsheetml/2006/main">
  <c r="H26" i="22" l="1"/>
  <c r="I19" i="22"/>
  <c r="G34" i="49"/>
  <c r="G28" i="49"/>
  <c r="G22" i="49"/>
  <c r="G16" i="49"/>
  <c r="G10" i="49"/>
  <c r="G4" i="49"/>
  <c r="G10" i="48" l="1"/>
  <c r="G4" i="48"/>
  <c r="I13" i="22" l="1"/>
  <c r="G6" i="31"/>
  <c r="G5" i="31"/>
  <c r="I27" i="22" l="1"/>
  <c r="I26" i="22"/>
  <c r="I6" i="22"/>
  <c r="G15" i="47" l="1"/>
  <c r="G14" i="47"/>
  <c r="G13" i="47"/>
  <c r="G12" i="47"/>
  <c r="G11" i="47"/>
  <c r="G10" i="47"/>
  <c r="G9" i="47"/>
  <c r="G6" i="47"/>
  <c r="G5" i="47"/>
  <c r="G85" i="31"/>
  <c r="G78" i="31"/>
  <c r="G72" i="31"/>
  <c r="G65" i="31"/>
  <c r="G59" i="31"/>
  <c r="G51" i="31"/>
  <c r="G8" i="31"/>
  <c r="G5" i="46"/>
  <c r="G43" i="45"/>
  <c r="G36" i="45"/>
  <c r="F30" i="45"/>
  <c r="G30" i="45" s="1"/>
  <c r="G29" i="45"/>
  <c r="G23" i="45"/>
  <c r="G17" i="45"/>
  <c r="G10" i="45"/>
  <c r="G4" i="45"/>
  <c r="F245" i="42"/>
  <c r="G245" i="42" s="1"/>
  <c r="G244" i="42"/>
  <c r="F244" i="42"/>
  <c r="F243" i="42"/>
  <c r="G243" i="42" s="1"/>
  <c r="G241" i="42"/>
  <c r="F241" i="42"/>
  <c r="F240" i="42"/>
  <c r="G240" i="42" s="1"/>
  <c r="G239" i="42"/>
  <c r="F239" i="42"/>
  <c r="F238" i="42"/>
  <c r="G238" i="42" s="1"/>
  <c r="G237" i="42"/>
  <c r="F237" i="42"/>
  <c r="F236" i="42"/>
  <c r="G236" i="42" s="1"/>
  <c r="G235" i="42"/>
  <c r="F235" i="42"/>
  <c r="F234" i="42"/>
  <c r="G234" i="42" s="1"/>
  <c r="G233" i="42"/>
  <c r="F233" i="42"/>
  <c r="F232" i="42"/>
  <c r="G232" i="42" s="1"/>
  <c r="G231" i="42"/>
  <c r="F231" i="42"/>
  <c r="F230" i="42"/>
  <c r="G230" i="42" s="1"/>
  <c r="G229" i="42"/>
  <c r="F229" i="42"/>
  <c r="F228" i="42"/>
  <c r="G228" i="42" s="1"/>
  <c r="G227" i="42"/>
  <c r="F227" i="42"/>
  <c r="F226" i="42"/>
  <c r="G226" i="42" s="1"/>
  <c r="G225" i="42"/>
  <c r="F225" i="42"/>
  <c r="F224" i="42"/>
  <c r="G224" i="42" s="1"/>
  <c r="G223" i="42"/>
  <c r="F223" i="42"/>
  <c r="F222" i="42"/>
  <c r="G222" i="42" s="1"/>
  <c r="G221" i="42"/>
  <c r="F221" i="42"/>
  <c r="F220" i="42"/>
  <c r="G220" i="42" s="1"/>
  <c r="G219" i="42"/>
  <c r="F219" i="42"/>
  <c r="F218" i="42"/>
  <c r="G218" i="42" s="1"/>
  <c r="G217" i="42"/>
  <c r="F217" i="42"/>
  <c r="F216" i="42"/>
  <c r="G216" i="42" s="1"/>
  <c r="G215" i="42"/>
  <c r="F215" i="42"/>
  <c r="F214" i="42"/>
  <c r="G214" i="42" s="1"/>
  <c r="G213" i="42"/>
  <c r="F213" i="42"/>
  <c r="F212" i="42"/>
  <c r="G212" i="42" s="1"/>
  <c r="G211" i="42"/>
  <c r="F211" i="42"/>
  <c r="F210" i="42"/>
  <c r="G210" i="42" s="1"/>
  <c r="G209" i="42"/>
  <c r="F209" i="42"/>
  <c r="F208" i="42"/>
  <c r="G208" i="42" s="1"/>
  <c r="G207" i="42"/>
  <c r="F207" i="42"/>
  <c r="F206" i="42"/>
  <c r="G206" i="42" s="1"/>
  <c r="G205" i="42"/>
  <c r="F205" i="42"/>
  <c r="F204" i="42"/>
  <c r="G204" i="42" s="1"/>
  <c r="G203" i="42"/>
  <c r="F203" i="42"/>
  <c r="F202" i="42"/>
  <c r="G202" i="42" s="1"/>
  <c r="G201" i="42"/>
  <c r="F201" i="42"/>
  <c r="F200" i="42"/>
  <c r="G200" i="42" s="1"/>
  <c r="G199" i="42"/>
  <c r="F199" i="42"/>
  <c r="F198" i="42"/>
  <c r="G198" i="42" s="1"/>
  <c r="G197" i="42"/>
  <c r="F197" i="42"/>
  <c r="F196" i="42"/>
  <c r="G196" i="42" s="1"/>
  <c r="G195" i="42"/>
  <c r="F194" i="42"/>
  <c r="G194" i="42" s="1"/>
  <c r="G193" i="42"/>
  <c r="F193" i="42"/>
  <c r="F192" i="42"/>
  <c r="G192" i="42" s="1"/>
  <c r="F191" i="42"/>
  <c r="G191" i="42" s="1"/>
  <c r="G190" i="42"/>
  <c r="F190" i="42"/>
  <c r="G189" i="42"/>
  <c r="F189" i="42"/>
  <c r="F188" i="42"/>
  <c r="G188" i="42" s="1"/>
  <c r="F187" i="42"/>
  <c r="G187" i="42" s="1"/>
  <c r="G186" i="42"/>
  <c r="F186" i="42"/>
  <c r="G185" i="42"/>
  <c r="F185" i="42"/>
  <c r="F184" i="42"/>
  <c r="G184" i="42" s="1"/>
  <c r="F183" i="42"/>
  <c r="G183" i="42" s="1"/>
  <c r="G182" i="42"/>
  <c r="F182" i="42"/>
  <c r="G181" i="42"/>
  <c r="F181" i="42"/>
  <c r="F180" i="42"/>
  <c r="G180" i="42" s="1"/>
  <c r="F179" i="42"/>
  <c r="G179" i="42" s="1"/>
  <c r="G178" i="42"/>
  <c r="F178" i="42"/>
  <c r="G177" i="42"/>
  <c r="F177" i="42"/>
  <c r="F176" i="42"/>
  <c r="G176" i="42" s="1"/>
  <c r="F175" i="42"/>
  <c r="G175" i="42" s="1"/>
  <c r="G174" i="42"/>
  <c r="F174" i="42"/>
  <c r="G173" i="42"/>
  <c r="F173" i="42"/>
  <c r="F172" i="42"/>
  <c r="G172" i="42" s="1"/>
  <c r="F171" i="42"/>
  <c r="G171" i="42" s="1"/>
  <c r="G170" i="42"/>
  <c r="F170" i="42"/>
  <c r="G169" i="42"/>
  <c r="F169" i="42"/>
  <c r="F168" i="42"/>
  <c r="G168" i="42" s="1"/>
  <c r="F167" i="42"/>
  <c r="G167" i="42" s="1"/>
  <c r="G166" i="42"/>
  <c r="F166" i="42"/>
  <c r="G165" i="42"/>
  <c r="F165" i="42"/>
  <c r="F164" i="42"/>
  <c r="G164" i="42" s="1"/>
  <c r="F163" i="42"/>
  <c r="G163" i="42" s="1"/>
  <c r="G162" i="42"/>
  <c r="F162" i="42"/>
  <c r="G161" i="42"/>
  <c r="F161" i="42"/>
  <c r="F160" i="42"/>
  <c r="G160" i="42" s="1"/>
  <c r="F159" i="42"/>
  <c r="G159" i="42" s="1"/>
  <c r="G158" i="42"/>
  <c r="F158" i="42"/>
  <c r="G157" i="42"/>
  <c r="G156" i="42"/>
  <c r="F156" i="42"/>
  <c r="F155" i="42"/>
  <c r="G155" i="42" s="1"/>
  <c r="G154" i="42"/>
  <c r="F154" i="42"/>
  <c r="F153" i="42"/>
  <c r="G153" i="42" s="1"/>
  <c r="G152" i="42"/>
  <c r="F152" i="42"/>
  <c r="F151" i="42"/>
  <c r="G151" i="42" s="1"/>
  <c r="G150" i="42"/>
  <c r="F150" i="42"/>
  <c r="F149" i="42"/>
  <c r="G149" i="42" s="1"/>
  <c r="G148" i="42"/>
  <c r="F148" i="42"/>
  <c r="F147" i="42"/>
  <c r="G147" i="42" s="1"/>
  <c r="G146" i="42"/>
  <c r="F146" i="42"/>
  <c r="F145" i="42"/>
  <c r="G145" i="42" s="1"/>
  <c r="G144" i="42"/>
  <c r="F144" i="42"/>
  <c r="F143" i="42"/>
  <c r="G143" i="42" s="1"/>
  <c r="G142" i="42"/>
  <c r="F142" i="42"/>
  <c r="F141" i="42"/>
  <c r="G141" i="42" s="1"/>
  <c r="G140" i="42"/>
  <c r="F140" i="42"/>
  <c r="F139" i="42"/>
  <c r="G139" i="42" s="1"/>
  <c r="G138" i="42"/>
  <c r="F138" i="42"/>
  <c r="F137" i="42"/>
  <c r="G137" i="42" s="1"/>
  <c r="G136" i="42"/>
  <c r="F136" i="42"/>
  <c r="F135" i="42"/>
  <c r="G135" i="42" s="1"/>
  <c r="G134" i="42"/>
  <c r="F134" i="42"/>
  <c r="G133" i="42"/>
  <c r="G132" i="42"/>
  <c r="F132" i="42"/>
  <c r="F131" i="42"/>
  <c r="G131" i="42" s="1"/>
  <c r="F130" i="42"/>
  <c r="G130" i="42" s="1"/>
  <c r="F129" i="42"/>
  <c r="G129" i="42" s="1"/>
  <c r="G128" i="42"/>
  <c r="F128" i="42"/>
  <c r="F127" i="42"/>
  <c r="G127" i="42" s="1"/>
  <c r="F126" i="42"/>
  <c r="G126" i="42" s="1"/>
  <c r="G125" i="42"/>
  <c r="F125" i="42"/>
  <c r="G124" i="42"/>
  <c r="F124" i="42"/>
  <c r="F123" i="42"/>
  <c r="G123" i="42" s="1"/>
  <c r="F122" i="42"/>
  <c r="G122" i="42" s="1"/>
  <c r="G121" i="42"/>
  <c r="F121" i="42"/>
  <c r="G120" i="42"/>
  <c r="F120" i="42"/>
  <c r="F119" i="42"/>
  <c r="G119" i="42" s="1"/>
  <c r="F118" i="42"/>
  <c r="G118" i="42" s="1"/>
  <c r="G117" i="42"/>
  <c r="F117" i="42"/>
  <c r="G116" i="42"/>
  <c r="F116" i="42"/>
  <c r="F115" i="42"/>
  <c r="G115" i="42" s="1"/>
  <c r="F114" i="42"/>
  <c r="G114" i="42" s="1"/>
  <c r="F113" i="42"/>
  <c r="G113" i="42" s="1"/>
  <c r="G112" i="42"/>
  <c r="F112" i="42"/>
  <c r="F111" i="42"/>
  <c r="G111" i="42" s="1"/>
  <c r="F110" i="42"/>
  <c r="G110" i="42" s="1"/>
  <c r="G109" i="42"/>
  <c r="F109" i="42"/>
  <c r="G108" i="42"/>
  <c r="F108" i="42"/>
  <c r="F107" i="42"/>
  <c r="G107" i="42" s="1"/>
  <c r="F106" i="42"/>
  <c r="G106" i="42" s="1"/>
  <c r="G105" i="42"/>
  <c r="F105" i="42"/>
  <c r="G104" i="42"/>
  <c r="F104" i="42"/>
  <c r="F103" i="42"/>
  <c r="G103" i="42" s="1"/>
  <c r="F102" i="42"/>
  <c r="G102" i="42" s="1"/>
  <c r="G101" i="42"/>
  <c r="F101" i="42"/>
  <c r="G100" i="42"/>
  <c r="F100" i="42"/>
  <c r="F99" i="42"/>
  <c r="G99" i="42" s="1"/>
  <c r="F98" i="42"/>
  <c r="G98" i="42" s="1"/>
  <c r="G97" i="42"/>
  <c r="F97" i="42"/>
  <c r="G96" i="42"/>
  <c r="F96" i="42"/>
  <c r="F95" i="42"/>
  <c r="G95" i="42" s="1"/>
  <c r="F94" i="42"/>
  <c r="G94" i="42" s="1"/>
  <c r="G93" i="42"/>
  <c r="F93" i="42"/>
  <c r="G92" i="42"/>
  <c r="F92" i="42"/>
  <c r="F91" i="42"/>
  <c r="G91" i="42" s="1"/>
  <c r="F90" i="42"/>
  <c r="G90" i="42" s="1"/>
  <c r="G89" i="42"/>
  <c r="F89" i="42"/>
  <c r="G88" i="42"/>
  <c r="F88" i="42"/>
  <c r="F87" i="42"/>
  <c r="G87" i="42" s="1"/>
  <c r="F86" i="42"/>
  <c r="G86" i="42" s="1"/>
  <c r="G85" i="42"/>
  <c r="F85" i="42"/>
  <c r="G84" i="42"/>
  <c r="F84" i="42"/>
  <c r="F83" i="42"/>
  <c r="G83" i="42" s="1"/>
  <c r="F82" i="42"/>
  <c r="G82" i="42" s="1"/>
  <c r="G81" i="42"/>
  <c r="F81" i="42"/>
  <c r="G80" i="42"/>
  <c r="F80" i="42"/>
  <c r="F79" i="42"/>
  <c r="G79" i="42" s="1"/>
  <c r="F78" i="42"/>
  <c r="G78" i="42" s="1"/>
  <c r="G77" i="42"/>
  <c r="F77" i="42"/>
  <c r="G76" i="42"/>
  <c r="F76" i="42"/>
  <c r="F75" i="42"/>
  <c r="G75" i="42" s="1"/>
  <c r="F74" i="42"/>
  <c r="G74" i="42" s="1"/>
  <c r="G73" i="42"/>
  <c r="F73" i="42"/>
  <c r="G72" i="42"/>
  <c r="F72" i="42"/>
  <c r="F71" i="42"/>
  <c r="G71" i="42" s="1"/>
  <c r="F70" i="42"/>
  <c r="G70" i="42" s="1"/>
  <c r="G69" i="42"/>
  <c r="F68" i="42"/>
  <c r="G68" i="42" s="1"/>
  <c r="G67" i="42"/>
  <c r="F67" i="42"/>
  <c r="F66" i="42"/>
  <c r="G66" i="42" s="1"/>
  <c r="G65" i="42"/>
  <c r="F65" i="42"/>
  <c r="F64" i="42"/>
  <c r="G64" i="42" s="1"/>
  <c r="G63" i="42"/>
  <c r="F63" i="42"/>
  <c r="F62" i="42"/>
  <c r="G62" i="42" s="1"/>
  <c r="G61" i="42"/>
  <c r="F61" i="42"/>
  <c r="F60" i="42"/>
  <c r="G60" i="42" s="1"/>
  <c r="G59" i="42"/>
  <c r="F59" i="42"/>
  <c r="F58" i="42"/>
  <c r="G58" i="42" s="1"/>
  <c r="G57" i="42"/>
  <c r="F57" i="42"/>
  <c r="F56" i="42"/>
  <c r="G56" i="42" s="1"/>
  <c r="G55" i="42"/>
  <c r="F55" i="42"/>
  <c r="F54" i="42"/>
  <c r="G54" i="42" s="1"/>
  <c r="G53" i="42"/>
  <c r="F53" i="42"/>
  <c r="F52" i="42"/>
  <c r="G52" i="42" s="1"/>
  <c r="G51" i="42"/>
  <c r="F51" i="42"/>
  <c r="F50" i="42"/>
  <c r="G50" i="42" s="1"/>
  <c r="G49" i="42"/>
  <c r="F48" i="42"/>
  <c r="G48" i="42" s="1"/>
  <c r="G47" i="42"/>
  <c r="F47" i="42"/>
  <c r="F46" i="42"/>
  <c r="G46" i="42" s="1"/>
  <c r="F45" i="42"/>
  <c r="G45" i="42" s="1"/>
  <c r="F44" i="42"/>
  <c r="G44" i="42" s="1"/>
  <c r="G43" i="42"/>
  <c r="F43" i="42"/>
  <c r="F42" i="42"/>
  <c r="G42" i="42" s="1"/>
  <c r="F41" i="42"/>
  <c r="G41" i="42" s="1"/>
  <c r="G40" i="42"/>
  <c r="F40" i="42"/>
  <c r="G39" i="42"/>
  <c r="F39" i="42"/>
  <c r="F38" i="42"/>
  <c r="G38" i="42" s="1"/>
  <c r="F37" i="42"/>
  <c r="G37" i="42" s="1"/>
  <c r="F36" i="42"/>
  <c r="G36" i="42" s="1"/>
  <c r="G35" i="42"/>
  <c r="F35" i="42"/>
  <c r="F34" i="42"/>
  <c r="G34" i="42" s="1"/>
  <c r="F33" i="42"/>
  <c r="G33" i="42" s="1"/>
  <c r="F32" i="42"/>
  <c r="G32" i="42" s="1"/>
  <c r="G31" i="42"/>
  <c r="F31" i="42"/>
  <c r="F30" i="42"/>
  <c r="G30" i="42" s="1"/>
  <c r="F29" i="42"/>
  <c r="G29" i="42" s="1"/>
  <c r="F28" i="42"/>
  <c r="G28" i="42" s="1"/>
  <c r="G27" i="42"/>
  <c r="F27" i="42"/>
  <c r="F26" i="42"/>
  <c r="G26" i="42" s="1"/>
  <c r="F25" i="42"/>
  <c r="G25" i="42" s="1"/>
  <c r="F24" i="42"/>
  <c r="G24" i="42" s="1"/>
  <c r="G23" i="42"/>
  <c r="F23" i="42"/>
  <c r="F22" i="42"/>
  <c r="G22" i="42" s="1"/>
  <c r="F21" i="42"/>
  <c r="G21" i="42" s="1"/>
  <c r="F20" i="42"/>
  <c r="G20" i="42" s="1"/>
  <c r="G19" i="42"/>
  <c r="F19" i="42"/>
  <c r="F18" i="42"/>
  <c r="G18" i="42" s="1"/>
  <c r="F17" i="42"/>
  <c r="G17" i="42" s="1"/>
  <c r="F16" i="42"/>
  <c r="G16" i="42" s="1"/>
  <c r="G15" i="42"/>
  <c r="F15" i="42"/>
  <c r="F14" i="42"/>
  <c r="G14" i="42" s="1"/>
  <c r="F13" i="42"/>
  <c r="G13" i="42" s="1"/>
  <c r="F12" i="42"/>
  <c r="G12" i="42" s="1"/>
  <c r="G11" i="42"/>
  <c r="F11" i="42"/>
  <c r="F10" i="42"/>
  <c r="G10" i="42" s="1"/>
  <c r="F9" i="42"/>
  <c r="G9" i="42" s="1"/>
  <c r="F8" i="42"/>
  <c r="G8" i="42" s="1"/>
  <c r="G7" i="42"/>
  <c r="F7" i="42"/>
  <c r="F6" i="42"/>
  <c r="G6" i="42" s="1"/>
  <c r="F5" i="42"/>
  <c r="G5" i="42" s="1"/>
  <c r="F4" i="42"/>
  <c r="G4" i="42" s="1"/>
  <c r="F4" i="41"/>
  <c r="D4" i="41"/>
  <c r="G4" i="41" s="1"/>
  <c r="H50" i="40"/>
  <c r="H49" i="40"/>
  <c r="H48" i="40"/>
  <c r="H47" i="40"/>
  <c r="H46" i="40"/>
  <c r="H45" i="40"/>
  <c r="H44" i="40"/>
  <c r="H43" i="40"/>
  <c r="H42" i="40"/>
  <c r="H41" i="40"/>
  <c r="H40" i="40"/>
  <c r="H39" i="40"/>
  <c r="H38" i="40"/>
  <c r="H37" i="40"/>
  <c r="H36" i="40"/>
  <c r="H35" i="40"/>
  <c r="H34" i="40"/>
  <c r="H33" i="40"/>
  <c r="H32" i="40"/>
  <c r="H31" i="40"/>
  <c r="H30" i="40"/>
  <c r="H29" i="40"/>
  <c r="H28" i="40"/>
  <c r="H27" i="40"/>
  <c r="H26" i="40"/>
  <c r="H25" i="40"/>
  <c r="H24" i="40"/>
  <c r="H23" i="40"/>
  <c r="H22" i="40"/>
  <c r="H21" i="40"/>
  <c r="H20" i="40"/>
  <c r="H19" i="40"/>
  <c r="H18" i="40"/>
  <c r="H17" i="40"/>
  <c r="H16" i="40"/>
  <c r="H15" i="40"/>
  <c r="H14" i="40"/>
  <c r="H13" i="40"/>
  <c r="H12" i="40"/>
  <c r="H11" i="40"/>
  <c r="H10" i="40"/>
  <c r="H9" i="40"/>
  <c r="H8" i="40"/>
  <c r="H7" i="40"/>
  <c r="H6" i="40"/>
  <c r="H5" i="40"/>
  <c r="H4" i="40"/>
  <c r="G83" i="39"/>
  <c r="G82" i="39"/>
  <c r="G81" i="39"/>
  <c r="G80" i="39"/>
  <c r="G79" i="39"/>
  <c r="G78" i="39"/>
  <c r="G77" i="39"/>
  <c r="G76" i="39"/>
  <c r="G75" i="39"/>
  <c r="G74" i="39"/>
  <c r="G73" i="39"/>
  <c r="G72" i="39"/>
  <c r="G71" i="39"/>
  <c r="G70" i="39"/>
  <c r="G69" i="39"/>
  <c r="G68" i="39"/>
  <c r="G67" i="39"/>
  <c r="G66" i="39"/>
  <c r="G65" i="39"/>
  <c r="G64" i="39"/>
  <c r="G63" i="39"/>
  <c r="G62" i="39"/>
  <c r="G61" i="39"/>
  <c r="F61" i="39"/>
  <c r="F60" i="39"/>
  <c r="G60" i="39" s="1"/>
  <c r="G59" i="39"/>
  <c r="F59" i="39"/>
  <c r="F58" i="39"/>
  <c r="G58" i="39" s="1"/>
  <c r="G57" i="39"/>
  <c r="F57" i="39"/>
  <c r="F56" i="39"/>
  <c r="G56" i="39" s="1"/>
  <c r="G55" i="39"/>
  <c r="F55" i="39"/>
  <c r="F54" i="39"/>
  <c r="G54" i="39" s="1"/>
  <c r="G53" i="39"/>
  <c r="F53" i="39"/>
  <c r="F52" i="39"/>
  <c r="G52" i="39" s="1"/>
  <c r="G51" i="39"/>
  <c r="F51" i="39"/>
  <c r="F50" i="39"/>
  <c r="G50" i="39" s="1"/>
  <c r="G49" i="39"/>
  <c r="F49" i="39"/>
  <c r="F48" i="39"/>
  <c r="G48" i="39" s="1"/>
  <c r="G47" i="39"/>
  <c r="F46" i="39"/>
  <c r="G46" i="39" s="1"/>
  <c r="G45" i="39"/>
  <c r="F45" i="39"/>
  <c r="G44" i="39"/>
  <c r="F43" i="39"/>
  <c r="G43" i="39" s="1"/>
  <c r="G42" i="39"/>
  <c r="F41" i="39"/>
  <c r="G41" i="39" s="1"/>
  <c r="G40" i="39"/>
  <c r="F40" i="39"/>
  <c r="G39" i="39"/>
  <c r="F38" i="39"/>
  <c r="G38" i="39" s="1"/>
  <c r="G37" i="39"/>
  <c r="F37" i="39"/>
  <c r="G36" i="39"/>
  <c r="G35" i="39"/>
  <c r="G34" i="39"/>
  <c r="G33" i="39"/>
  <c r="G31" i="39"/>
  <c r="G30" i="39"/>
  <c r="G29" i="39"/>
  <c r="G28" i="39"/>
  <c r="G27" i="39"/>
  <c r="G26" i="39"/>
  <c r="G25" i="39"/>
  <c r="G24" i="39"/>
  <c r="G23" i="39"/>
  <c r="G22" i="39"/>
  <c r="G21" i="39"/>
  <c r="G20" i="39"/>
  <c r="G19" i="39"/>
  <c r="G18" i="39"/>
  <c r="G17" i="39"/>
  <c r="G16" i="39"/>
  <c r="G15" i="39"/>
  <c r="G14" i="39"/>
  <c r="G13" i="39"/>
  <c r="G12" i="39"/>
  <c r="G11" i="39"/>
  <c r="G10" i="39"/>
  <c r="G9" i="39"/>
  <c r="G8" i="39"/>
  <c r="G7" i="39"/>
  <c r="G6" i="39"/>
  <c r="G5" i="39"/>
  <c r="G45" i="38"/>
  <c r="F45" i="38"/>
  <c r="F44" i="38"/>
  <c r="G44" i="38" s="1"/>
  <c r="G43" i="38"/>
  <c r="F43" i="38"/>
  <c r="F42" i="38"/>
  <c r="G42" i="38" s="1"/>
  <c r="G41" i="38"/>
  <c r="F41" i="38"/>
  <c r="F40" i="38"/>
  <c r="G40" i="38" s="1"/>
  <c r="E40" i="38"/>
  <c r="F39" i="38"/>
  <c r="G39" i="38" s="1"/>
  <c r="E39" i="38"/>
  <c r="G38" i="38"/>
  <c r="F38" i="38"/>
  <c r="E38" i="38"/>
  <c r="G37" i="38"/>
  <c r="G36" i="38"/>
  <c r="F35" i="38"/>
  <c r="G35" i="38" s="1"/>
  <c r="E35" i="38"/>
  <c r="G34" i="38"/>
  <c r="F34" i="38"/>
  <c r="E34" i="38"/>
  <c r="F33" i="38"/>
  <c r="G33" i="38" s="1"/>
  <c r="E33" i="38"/>
  <c r="F32" i="38"/>
  <c r="G32" i="38" s="1"/>
  <c r="E32" i="38"/>
  <c r="G31" i="38"/>
  <c r="F31" i="38"/>
  <c r="E31" i="38"/>
  <c r="G30" i="38"/>
  <c r="F30" i="38"/>
  <c r="E30" i="38"/>
  <c r="G29" i="38"/>
  <c r="F29" i="38"/>
  <c r="E29" i="38"/>
  <c r="G27" i="38"/>
  <c r="G26" i="38"/>
  <c r="G25" i="38"/>
  <c r="G24" i="38"/>
  <c r="G23" i="38"/>
  <c r="G21" i="38"/>
  <c r="F21" i="38"/>
  <c r="E21" i="38"/>
  <c r="G20" i="38"/>
  <c r="F19" i="38"/>
  <c r="G19" i="38" s="1"/>
  <c r="E19" i="38"/>
  <c r="F18" i="38"/>
  <c r="G18" i="38" s="1"/>
  <c r="E18" i="38"/>
  <c r="G17" i="38"/>
  <c r="F16" i="38"/>
  <c r="G16" i="38" s="1"/>
  <c r="E16" i="38"/>
  <c r="F15" i="38"/>
  <c r="G15" i="38" s="1"/>
  <c r="E15" i="38"/>
  <c r="G14" i="38"/>
  <c r="G13" i="38"/>
  <c r="F13" i="38"/>
  <c r="E13" i="38"/>
  <c r="G12" i="38"/>
  <c r="F12" i="38"/>
  <c r="E12" i="38"/>
  <c r="G11" i="38"/>
  <c r="G10" i="38"/>
  <c r="F10" i="38"/>
  <c r="E10" i="38"/>
  <c r="F9" i="38"/>
  <c r="G9" i="38" s="1"/>
  <c r="E9" i="38"/>
  <c r="G8" i="38"/>
  <c r="G7" i="38"/>
  <c r="F7" i="38"/>
  <c r="E7" i="38"/>
  <c r="G6" i="38"/>
  <c r="F5" i="38"/>
  <c r="G5" i="38" s="1"/>
  <c r="E5" i="38"/>
  <c r="F4" i="38"/>
  <c r="G4" i="38" s="1"/>
  <c r="E4" i="38"/>
  <c r="G4" i="37"/>
  <c r="F117" i="36"/>
  <c r="G117" i="36" s="1"/>
  <c r="G116" i="36"/>
  <c r="F116" i="36"/>
  <c r="G115" i="36"/>
  <c r="F115" i="36"/>
  <c r="F114" i="36"/>
  <c r="G114" i="36" s="1"/>
  <c r="F113" i="36"/>
  <c r="G113" i="36" s="1"/>
  <c r="G112" i="36"/>
  <c r="F112" i="36"/>
  <c r="G111" i="36"/>
  <c r="F111" i="36"/>
  <c r="G110" i="36"/>
  <c r="F110" i="36"/>
  <c r="F109" i="36"/>
  <c r="G109" i="36" s="1"/>
  <c r="G108" i="36"/>
  <c r="F108" i="36"/>
  <c r="G107" i="36"/>
  <c r="F107" i="36"/>
  <c r="G106" i="36"/>
  <c r="F106" i="36"/>
  <c r="F105" i="36"/>
  <c r="G105" i="36" s="1"/>
  <c r="G104" i="36"/>
  <c r="F104" i="36"/>
  <c r="G103" i="36"/>
  <c r="F103" i="36"/>
  <c r="G102" i="36"/>
  <c r="F102" i="36"/>
  <c r="F101" i="36"/>
  <c r="G101" i="36" s="1"/>
  <c r="G100" i="36"/>
  <c r="F100" i="36"/>
  <c r="G99" i="36"/>
  <c r="F99" i="36"/>
  <c r="G98" i="36"/>
  <c r="F98" i="36"/>
  <c r="F97" i="36"/>
  <c r="G97" i="36" s="1"/>
  <c r="G96" i="36"/>
  <c r="F96" i="36"/>
  <c r="G95" i="36"/>
  <c r="F95" i="36"/>
  <c r="G94" i="36"/>
  <c r="F94" i="36"/>
  <c r="F93" i="36"/>
  <c r="G93" i="36" s="1"/>
  <c r="G92" i="36"/>
  <c r="F92" i="36"/>
  <c r="G91" i="36"/>
  <c r="F91" i="36"/>
  <c r="G90" i="36"/>
  <c r="F90" i="36"/>
  <c r="F89" i="36"/>
  <c r="G89" i="36" s="1"/>
  <c r="G88" i="36"/>
  <c r="F88" i="36"/>
  <c r="G87" i="36"/>
  <c r="F87" i="36"/>
  <c r="G86" i="36"/>
  <c r="F86" i="36"/>
  <c r="F85" i="36"/>
  <c r="G85" i="36" s="1"/>
  <c r="G84" i="36"/>
  <c r="F84" i="36"/>
  <c r="G83" i="36"/>
  <c r="F83" i="36"/>
  <c r="G82" i="36"/>
  <c r="F82" i="36"/>
  <c r="F81" i="36"/>
  <c r="G81" i="36" s="1"/>
  <c r="G80" i="36"/>
  <c r="F80" i="36"/>
  <c r="G79" i="36"/>
  <c r="F79" i="36"/>
  <c r="G78" i="36"/>
  <c r="F78" i="36"/>
  <c r="F77" i="36"/>
  <c r="G77" i="36" s="1"/>
  <c r="G76" i="36"/>
  <c r="F76" i="36"/>
  <c r="G75" i="36"/>
  <c r="F75" i="36"/>
  <c r="G74" i="36"/>
  <c r="F74" i="36"/>
  <c r="F73" i="36"/>
  <c r="G73" i="36" s="1"/>
  <c r="G72" i="36"/>
  <c r="F72" i="36"/>
  <c r="G71" i="36"/>
  <c r="F71" i="36"/>
  <c r="G70" i="36"/>
  <c r="F70" i="36"/>
  <c r="F69" i="36"/>
  <c r="G69" i="36" s="1"/>
  <c r="G68" i="36"/>
  <c r="F68" i="36"/>
  <c r="G67" i="36"/>
  <c r="F67" i="36"/>
  <c r="G66" i="36"/>
  <c r="F66" i="36"/>
  <c r="F65" i="36"/>
  <c r="G65" i="36" s="1"/>
  <c r="G64" i="36"/>
  <c r="F64" i="36"/>
  <c r="G63" i="36"/>
  <c r="F63" i="36"/>
  <c r="G62" i="36"/>
  <c r="F62" i="36"/>
  <c r="F61" i="36"/>
  <c r="G61" i="36" s="1"/>
  <c r="G60" i="36"/>
  <c r="F60" i="36"/>
  <c r="G59" i="36"/>
  <c r="F59" i="36"/>
  <c r="G58" i="36"/>
  <c r="G57" i="36"/>
  <c r="G56" i="36"/>
  <c r="G55" i="36"/>
  <c r="G54" i="36"/>
  <c r="F54" i="36"/>
  <c r="G53" i="36"/>
  <c r="F52" i="36"/>
  <c r="G52" i="36" s="1"/>
  <c r="G51" i="36"/>
  <c r="F50" i="36"/>
  <c r="G50" i="36" s="1"/>
  <c r="G49" i="36"/>
  <c r="F49" i="36"/>
  <c r="G48" i="36"/>
  <c r="F48" i="36"/>
  <c r="G47" i="36"/>
  <c r="F47" i="36"/>
  <c r="F46" i="36"/>
  <c r="G46" i="36" s="1"/>
  <c r="G45" i="36"/>
  <c r="F45" i="36"/>
  <c r="G44" i="36"/>
  <c r="F44" i="36"/>
  <c r="G43" i="36"/>
  <c r="F43" i="36"/>
  <c r="F42" i="36"/>
  <c r="G42" i="36" s="1"/>
  <c r="G41" i="36"/>
  <c r="F41" i="36"/>
  <c r="G40" i="36"/>
  <c r="F40" i="36"/>
  <c r="G39" i="36"/>
  <c r="F39" i="36"/>
  <c r="F38" i="36"/>
  <c r="G38" i="36" s="1"/>
  <c r="G37" i="36"/>
  <c r="F37" i="36"/>
  <c r="G36" i="36"/>
  <c r="F36" i="36"/>
  <c r="G35" i="36"/>
  <c r="F35" i="36"/>
  <c r="F34" i="36"/>
  <c r="G34" i="36" s="1"/>
  <c r="G33" i="36"/>
  <c r="F33" i="36"/>
  <c r="G32" i="36"/>
  <c r="F32" i="36"/>
  <c r="G31" i="36"/>
  <c r="F31" i="36"/>
  <c r="F30" i="36"/>
  <c r="G30" i="36" s="1"/>
  <c r="G29" i="36"/>
  <c r="F29" i="36"/>
  <c r="G28" i="36"/>
  <c r="F28" i="36"/>
  <c r="G27" i="36"/>
  <c r="F27" i="36"/>
  <c r="F26" i="36"/>
  <c r="G26" i="36" s="1"/>
  <c r="G25" i="36"/>
  <c r="F25" i="36"/>
  <c r="G24" i="36"/>
  <c r="F24" i="36"/>
  <c r="G23" i="36"/>
  <c r="F23" i="36"/>
  <c r="F22" i="36"/>
  <c r="G22" i="36" s="1"/>
  <c r="G21" i="36"/>
  <c r="F21" i="36"/>
  <c r="G20" i="36"/>
  <c r="F20" i="36"/>
  <c r="G19" i="36"/>
  <c r="F19" i="36"/>
  <c r="F18" i="36"/>
  <c r="G18" i="36" s="1"/>
  <c r="G17" i="36"/>
  <c r="F17" i="36"/>
  <c r="G16" i="36"/>
  <c r="F16" i="36"/>
  <c r="G15" i="36"/>
  <c r="F15" i="36"/>
  <c r="F14" i="36"/>
  <c r="G14" i="36" s="1"/>
  <c r="G13" i="36"/>
  <c r="F13" i="36"/>
  <c r="G12" i="36"/>
  <c r="F12" i="36"/>
  <c r="G11" i="36"/>
  <c r="F11" i="36"/>
  <c r="F10" i="36"/>
  <c r="G10" i="36" s="1"/>
  <c r="G9" i="36"/>
  <c r="F9" i="36"/>
  <c r="G8" i="36"/>
  <c r="F8" i="36"/>
  <c r="G7" i="36"/>
  <c r="F7" i="36"/>
  <c r="F6" i="36"/>
  <c r="G6" i="36" s="1"/>
  <c r="G5" i="36"/>
  <c r="F5" i="36"/>
  <c r="G4" i="36"/>
  <c r="F4" i="36"/>
  <c r="F30" i="35"/>
  <c r="G30" i="35" s="1"/>
  <c r="G29" i="35"/>
  <c r="F29" i="35"/>
  <c r="G28" i="35"/>
  <c r="F28" i="35"/>
  <c r="G27" i="35"/>
  <c r="F27" i="35"/>
  <c r="F26" i="35"/>
  <c r="G26" i="35" s="1"/>
  <c r="F25" i="35"/>
  <c r="G25" i="35" s="1"/>
  <c r="G24" i="35"/>
  <c r="F24" i="35"/>
  <c r="G23" i="35"/>
  <c r="F23" i="35"/>
  <c r="F22" i="35"/>
  <c r="G22" i="35" s="1"/>
  <c r="F21" i="35"/>
  <c r="G21" i="35" s="1"/>
  <c r="G20" i="35"/>
  <c r="F20" i="35"/>
  <c r="G19" i="35"/>
  <c r="F19" i="35"/>
  <c r="F18" i="35"/>
  <c r="G18" i="35" s="1"/>
  <c r="F17" i="35"/>
  <c r="G17" i="35" s="1"/>
  <c r="G16" i="35"/>
  <c r="F16" i="35"/>
  <c r="G15" i="35"/>
  <c r="F15" i="35"/>
  <c r="F14" i="35"/>
  <c r="G14" i="35" s="1"/>
  <c r="F13" i="35"/>
  <c r="G13" i="35" s="1"/>
  <c r="G12" i="35"/>
  <c r="F12" i="35"/>
  <c r="G11" i="35"/>
  <c r="F11" i="35"/>
  <c r="F10" i="35"/>
  <c r="G10" i="35" s="1"/>
  <c r="F9" i="35"/>
  <c r="G9" i="35" s="1"/>
  <c r="G8" i="35"/>
  <c r="F8" i="35"/>
  <c r="G7" i="35"/>
  <c r="F7" i="35"/>
  <c r="F6" i="35"/>
  <c r="G6" i="35" s="1"/>
  <c r="F5" i="35"/>
  <c r="G5" i="35" s="1"/>
  <c r="G4" i="35"/>
  <c r="G39" i="34"/>
  <c r="F39" i="34"/>
  <c r="G38" i="34"/>
  <c r="F38" i="34"/>
  <c r="G37" i="34"/>
  <c r="F37" i="34"/>
  <c r="G36" i="34"/>
  <c r="F36" i="34"/>
  <c r="G35" i="34"/>
  <c r="F35" i="34"/>
  <c r="G34" i="34"/>
  <c r="F32" i="34"/>
  <c r="G32" i="34" s="1"/>
  <c r="G31" i="34"/>
  <c r="G30" i="34"/>
  <c r="F30" i="34"/>
  <c r="G29" i="34"/>
  <c r="F29" i="34"/>
  <c r="F28" i="34"/>
  <c r="G28" i="34" s="1"/>
  <c r="G27" i="34"/>
  <c r="F26" i="34"/>
  <c r="G26" i="34" s="1"/>
  <c r="F25" i="34"/>
  <c r="G25" i="34" s="1"/>
  <c r="F24" i="34"/>
  <c r="G24" i="34" s="1"/>
  <c r="F23" i="34"/>
  <c r="G23" i="34" s="1"/>
  <c r="F22" i="34"/>
  <c r="G22" i="34" s="1"/>
  <c r="G21" i="34"/>
  <c r="G20" i="34"/>
  <c r="F20" i="34"/>
  <c r="G19" i="34"/>
  <c r="F18" i="34"/>
  <c r="G18" i="34" s="1"/>
  <c r="F17" i="34"/>
  <c r="G17" i="34" s="1"/>
  <c r="F15" i="34"/>
  <c r="G15" i="34" s="1"/>
  <c r="F14" i="34"/>
  <c r="G14" i="34" s="1"/>
  <c r="F13" i="34"/>
  <c r="G13" i="34" s="1"/>
  <c r="G12" i="34"/>
  <c r="G11" i="34"/>
  <c r="F11" i="34"/>
  <c r="G10" i="34"/>
  <c r="F9" i="34"/>
  <c r="G9" i="34" s="1"/>
  <c r="G7" i="34"/>
  <c r="G6" i="34"/>
  <c r="F5" i="34"/>
  <c r="G5" i="34" s="1"/>
  <c r="G4" i="34"/>
  <c r="G45" i="31" l="1"/>
  <c r="G39" i="31"/>
  <c r="G33" i="31"/>
  <c r="G26" i="31"/>
  <c r="G20" i="31"/>
  <c r="G14" i="31"/>
  <c r="G7" i="31"/>
  <c r="F60" i="5" l="1"/>
  <c r="F10" i="1"/>
  <c r="F9" i="1"/>
  <c r="F8" i="1"/>
  <c r="F7" i="1"/>
  <c r="F6" i="1"/>
  <c r="F5" i="1"/>
  <c r="F4" i="1"/>
  <c r="E9" i="1"/>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E11" i="2"/>
  <c r="E9" i="2"/>
  <c r="G15" i="23"/>
  <c r="F15" i="23"/>
  <c r="F11" i="1" l="1"/>
  <c r="F63" i="5" l="1"/>
  <c r="G63" i="5" s="1"/>
  <c r="G60" i="5"/>
  <c r="F58" i="5"/>
  <c r="G58" i="5" s="1"/>
  <c r="F53" i="5"/>
  <c r="G53" i="5" s="1"/>
  <c r="F52" i="5"/>
  <c r="G52" i="5" s="1"/>
  <c r="F51" i="5"/>
  <c r="F50" i="5"/>
  <c r="F49" i="5"/>
  <c r="G49" i="5" s="1"/>
  <c r="F30" i="5"/>
  <c r="G30" i="5" s="1"/>
  <c r="F29" i="5"/>
  <c r="G29" i="5" s="1"/>
  <c r="F28" i="5"/>
  <c r="G28" i="5" s="1"/>
  <c r="F26" i="5"/>
  <c r="G26" i="5" s="1"/>
  <c r="F21" i="5"/>
  <c r="G21" i="5" s="1"/>
  <c r="F17" i="5"/>
  <c r="G17" i="5" s="1"/>
  <c r="F14" i="5"/>
  <c r="G14" i="5" s="1"/>
  <c r="F13" i="5"/>
  <c r="G13" i="5" s="1"/>
  <c r="F10" i="5"/>
  <c r="F9" i="5"/>
  <c r="G9" i="5"/>
  <c r="G62" i="5"/>
  <c r="G61" i="5"/>
  <c r="G59" i="5"/>
  <c r="G57" i="5"/>
  <c r="G56" i="5"/>
  <c r="G55" i="5"/>
  <c r="G54" i="5"/>
  <c r="G51" i="5"/>
  <c r="G50" i="5"/>
  <c r="G47" i="5"/>
  <c r="G36" i="5"/>
  <c r="G24" i="5"/>
  <c r="G10" i="5"/>
  <c r="F42" i="5"/>
  <c r="G42" i="5" s="1"/>
  <c r="F41" i="5"/>
  <c r="G41" i="5" s="1"/>
  <c r="F40" i="5"/>
  <c r="G40" i="5" s="1"/>
  <c r="F16" i="5"/>
  <c r="G16" i="5" s="1"/>
  <c r="F15" i="5"/>
  <c r="G15" i="5" s="1"/>
  <c r="F48" i="5"/>
  <c r="G48" i="5" s="1"/>
  <c r="F47" i="5"/>
  <c r="F46" i="5"/>
  <c r="G46" i="5" s="1"/>
  <c r="F45" i="5"/>
  <c r="G45" i="5" s="1"/>
  <c r="F44" i="5"/>
  <c r="G44" i="5" s="1"/>
  <c r="F43" i="5"/>
  <c r="G43" i="5" s="1"/>
  <c r="F39" i="5"/>
  <c r="G39" i="5" s="1"/>
  <c r="F38" i="5"/>
  <c r="G38" i="5" s="1"/>
  <c r="F37" i="5"/>
  <c r="G37" i="5" s="1"/>
  <c r="F36" i="5"/>
  <c r="F35" i="5"/>
  <c r="G35" i="5" s="1"/>
  <c r="F34" i="5"/>
  <c r="G34" i="5" s="1"/>
  <c r="F33" i="5"/>
  <c r="G33" i="5" s="1"/>
  <c r="F32" i="5"/>
  <c r="G32" i="5" s="1"/>
  <c r="F31" i="5"/>
  <c r="G31" i="5" s="1"/>
  <c r="F27" i="5"/>
  <c r="G27" i="5" s="1"/>
  <c r="F25" i="5"/>
  <c r="G25" i="5" s="1"/>
  <c r="F24" i="5"/>
  <c r="F23" i="5"/>
  <c r="G23" i="5" s="1"/>
  <c r="F22" i="5"/>
  <c r="G22" i="5" s="1"/>
  <c r="F20" i="5"/>
  <c r="G20" i="5" s="1"/>
  <c r="F19" i="5"/>
  <c r="G19" i="5" s="1"/>
  <c r="F18" i="5"/>
  <c r="G18" i="5" s="1"/>
  <c r="F12" i="5"/>
  <c r="G12" i="5" s="1"/>
  <c r="F11" i="5"/>
  <c r="G11" i="5" s="1"/>
  <c r="F8" i="5"/>
  <c r="G8" i="5" s="1"/>
  <c r="F7" i="5"/>
  <c r="G7" i="5" s="1"/>
  <c r="F6" i="5"/>
  <c r="G6" i="5" s="1"/>
  <c r="F5" i="5"/>
  <c r="G5" i="5" s="1"/>
</calcChain>
</file>

<file path=xl/sharedStrings.xml><?xml version="1.0" encoding="utf-8"?>
<sst xmlns="http://schemas.openxmlformats.org/spreadsheetml/2006/main" count="6503" uniqueCount="1202">
  <si>
    <t xml:space="preserve">ITEM </t>
  </si>
  <si>
    <t>DESCRIPCION</t>
  </si>
  <si>
    <t xml:space="preserve">DEPENDENCIA QUE SOLICITA </t>
  </si>
  <si>
    <t>CANTI.</t>
  </si>
  <si>
    <t>UNIDAD</t>
  </si>
  <si>
    <t>VOLOR UNITA.</t>
  </si>
  <si>
    <t>DURACION ESTIMADA DEL CONTRATO</t>
  </si>
  <si>
    <t>MODALIDAD DE SELECCIÓN</t>
  </si>
  <si>
    <t>FUENTE DE LOS RECURSOS</t>
  </si>
  <si>
    <t>VALOR ESTIMADO DE LA VIGENCIA ACTUAL</t>
  </si>
  <si>
    <t>CARACTERISTICAS TECNICAS</t>
  </si>
  <si>
    <t xml:space="preserve">Computador de mesa PC </t>
  </si>
  <si>
    <t>UD</t>
  </si>
  <si>
    <t xml:space="preserve"> </t>
  </si>
  <si>
    <t>Computador portatil</t>
  </si>
  <si>
    <t xml:space="preserve">TABLES </t>
  </si>
  <si>
    <t>RUBRO</t>
  </si>
  <si>
    <t>TECLADO COMPUTADOR</t>
  </si>
  <si>
    <t>DISCO DURO PORTABLE</t>
  </si>
  <si>
    <t>TELEFONO MODELO KX-TS500LX</t>
  </si>
  <si>
    <t>CAMARA FOTOGRAFICA</t>
  </si>
  <si>
    <t>CAMARA DE SEGURIDAD</t>
  </si>
  <si>
    <t>TELEFAX</t>
  </si>
  <si>
    <t>AMPLIFICADOR</t>
  </si>
  <si>
    <t>MICROFONO INALAMBRICO</t>
  </si>
  <si>
    <t>JUEGO DE PARLANTES</t>
  </si>
  <si>
    <t>MICROFONOS</t>
  </si>
  <si>
    <t>MTS</t>
  </si>
  <si>
    <t>ARCHIVADOR PARED</t>
  </si>
  <si>
    <t>BIBLIOTECA METALICA</t>
  </si>
  <si>
    <t>DIVISIONES  MODULARES</t>
  </si>
  <si>
    <t>MODULOS DE RECEPCION EN L</t>
  </si>
  <si>
    <t>SILLAS UNIVERSITARIAS</t>
  </si>
  <si>
    <t>SILLAS EJECUTIVAS</t>
  </si>
  <si>
    <t>SILLA RIMAX SIN BRAZOS</t>
  </si>
  <si>
    <t>SILLA ERGONOMICA CON BRASOS</t>
  </si>
  <si>
    <t>SILLAS INTERLOCUTORAS</t>
  </si>
  <si>
    <t>SILLAS PLEGABLES</t>
  </si>
  <si>
    <t>SILLAS ERGONOMICAS CON RODACHINES</t>
  </si>
  <si>
    <t>PERSIANAS</t>
  </si>
  <si>
    <t>ESCRITORIO EJECUTIVO</t>
  </si>
  <si>
    <t>ESCRITORIO TIPO SECRETARIA</t>
  </si>
  <si>
    <t>TABLEROS EN ACRILICO</t>
  </si>
  <si>
    <t>TABLEROS INTELIGENTES</t>
  </si>
  <si>
    <t>ESTANTERIA MATELICA</t>
  </si>
  <si>
    <t>ESTANTERIA EN MEDERA</t>
  </si>
  <si>
    <t>ARCHIVADOR EN MADERA DE 4 GAVETAS</t>
  </si>
  <si>
    <t>ARCHIVADOR RODANTE</t>
  </si>
  <si>
    <t>MESA POTATIL</t>
  </si>
  <si>
    <t>MESA RIMAX</t>
  </si>
  <si>
    <t>CAMAROTES</t>
  </si>
  <si>
    <t xml:space="preserve">CARTELERA EN MADERA Y VIDRIO </t>
  </si>
  <si>
    <t>COLCHONES</t>
  </si>
  <si>
    <t>REPISAS AREAS</t>
  </si>
  <si>
    <t>CAMILLAS PARA EMERGENCIAS</t>
  </si>
  <si>
    <t>LOKER METALICO DE 16 PUESTOS</t>
  </si>
  <si>
    <t>CAJA FUERTE</t>
  </si>
  <si>
    <t>OFICINA DE LIQUIDACIÓN</t>
  </si>
  <si>
    <t>DIGITURNOS</t>
  </si>
  <si>
    <t>TV. 42 "</t>
  </si>
  <si>
    <t>SCANER 7500</t>
  </si>
  <si>
    <t>NEVERA</t>
  </si>
  <si>
    <t>DISPENSADOR DE AGUA</t>
  </si>
  <si>
    <t>GRABADORA DIO MP3 DE ALTA CALIDAD 4GB</t>
  </si>
  <si>
    <t>MINICOMPONENTE SONY USB, MP3, 800E</t>
  </si>
  <si>
    <t>SPOSRTE DE BRAZO PARA TV</t>
  </si>
  <si>
    <t>CONVERTIDODE CANON A PLUG</t>
  </si>
  <si>
    <t xml:space="preserve">LAMPARA 170 W PARA VIDEO BEAM </t>
  </si>
  <si>
    <t>DVD</t>
  </si>
  <si>
    <t xml:space="preserve">UD </t>
  </si>
  <si>
    <t>INVITACIÓN DIRECTA</t>
  </si>
  <si>
    <t>PROPIOS</t>
  </si>
  <si>
    <t>CON RODACHINAS DE 150*90 MTS</t>
  </si>
  <si>
    <t>ELECTRONICO</t>
  </si>
  <si>
    <t>IMPRESORA MULTIFINCIONAL</t>
  </si>
  <si>
    <t>IMPRESORA LASSERT 2025</t>
  </si>
  <si>
    <t>IMPRESORA LASSER 465A</t>
  </si>
  <si>
    <t>IMPRESORA LASSER 600 M601</t>
  </si>
  <si>
    <t>IMPRSESORA DE TINTA CONTINUA</t>
  </si>
  <si>
    <t>PROYECTOR PWERLITE 97 EPSON HDMI</t>
  </si>
  <si>
    <t>UPS</t>
  </si>
  <si>
    <t>AIRE ACONDICIONADO DE 18000 BTU</t>
  </si>
  <si>
    <t>AIRE ACONDICIONADO DE 36000 BTU</t>
  </si>
  <si>
    <t>3 MESES</t>
  </si>
  <si>
    <t>ARCHIVADOR AEREO</t>
  </si>
  <si>
    <t>AIRE ACONDICIONADO 60000 BTU</t>
  </si>
  <si>
    <t>AIRE ACONDICIONADO DE 24000 BTU</t>
  </si>
  <si>
    <t>IMPRESO RA LASSER JET MFP M127FN</t>
  </si>
  <si>
    <t>IMPRESORA EPSON  1355</t>
  </si>
  <si>
    <t>IMPRESORA EPSON EORKFORE M825ND MACROMATICA</t>
  </si>
  <si>
    <t>IMPRESORA 2630 TINTA CONTINUA</t>
  </si>
  <si>
    <t>IMPRESORA LASSERT 1102</t>
  </si>
  <si>
    <t>COMPUTADO DE MESA</t>
  </si>
  <si>
    <t>VIDEO CAMARA</t>
  </si>
  <si>
    <t xml:space="preserve">TRIPODE </t>
  </si>
  <si>
    <t>TELEFONO INALAMBRICO</t>
  </si>
  <si>
    <t>VIDEO BEAM EPSON</t>
  </si>
  <si>
    <t>GAVADORA DIGITAL ICD- PC33</t>
  </si>
  <si>
    <t>X36+ MODELO 2016 3600LUMINEX</t>
  </si>
  <si>
    <t>42" LED LG42LN5700 FHD</t>
  </si>
  <si>
    <t>SCANER PLANO HP SCANJET ENTERPRISE FLOW 7500 (L2725B)</t>
  </si>
  <si>
    <t>12 PIES RTA 46K6631SL/CL COOLING PLUS</t>
  </si>
  <si>
    <t>CON GABINETE DE ALMACENAMIENTO OPCION FRIA Y CALIENTE EMFSCCB DIMENSION 85.E DE ALTOX 28 DE ANCHO X 35.5 DE PROFUNDO CM.</t>
  </si>
  <si>
    <t>REFERENCIA ICD-PC33</t>
  </si>
  <si>
    <t>RADIO GRABADORA MP3 WMA USB SD CD DVD FM AM JPED</t>
  </si>
  <si>
    <t>CON BLUETOOTH MHC V44D</t>
  </si>
  <si>
    <t>SOPOSRTES PARA TV" DE 24 A55" ESCUALISABLE O GIRATORIO</t>
  </si>
  <si>
    <t>MONO 6 3 PROEL DHMA 300</t>
  </si>
  <si>
    <t>S 12 CB X12X11X14 W12 SO2 ELP67</t>
  </si>
  <si>
    <t>CON USB DVP - SR370</t>
  </si>
  <si>
    <t>LASSER JET MFP M127N</t>
  </si>
  <si>
    <t>REFERENCIA WIFI - INYECCION - TANQUE TINTA - L575</t>
  </si>
  <si>
    <t>EPSON 1355</t>
  </si>
  <si>
    <t>WORKFORCE M205</t>
  </si>
  <si>
    <t>LOSSER JET CP 1025 W</t>
  </si>
  <si>
    <t>WORFORCE 2630 TINTA CONTINUA</t>
  </si>
  <si>
    <t>HP LASERTJET P1102W</t>
  </si>
  <si>
    <t>IMPRESORA LASERJET 600 M601</t>
  </si>
  <si>
    <t>L575 MULTIFUNCIONAL WIFI</t>
  </si>
  <si>
    <t>LASER JEET P1006</t>
  </si>
  <si>
    <t>IMPRESORA A COLOR</t>
  </si>
  <si>
    <t>HP LASER JET M252 DW A COLOR</t>
  </si>
  <si>
    <t>UPS, INTERATIVA STAR TEC DE 850VA/480W CON 6 TOMAS REGULADOS</t>
  </si>
  <si>
    <t>DE 60000 BTU</t>
  </si>
  <si>
    <t>MINI SPLIT DE 24000 FULTECH BTU</t>
  </si>
  <si>
    <t>MINI SPLIT DE 18000 FULTECH BTU</t>
  </si>
  <si>
    <t>MINI SPLIT DE 36000 FULTECH BTU INNOVAR</t>
  </si>
  <si>
    <t>EN MADERA FORRADOS EN FORMICA CON TAPA Y CHAOA</t>
  </si>
  <si>
    <t>METALICAS DOS PUERTAS, LINEA NOVA MODUARTE.14144,56</t>
  </si>
  <si>
    <t>EN MADERA CON DOS PUERTAS EN VIDRIO CON CHAPA</t>
  </si>
  <si>
    <t>DE MADREA FORRADOS EN FORMICA CON BORDES EN CAUCHO Y MODULO DE ARCHIVO TRESS GAVETAS</t>
  </si>
  <si>
    <t>ESTRUCTURA METALICA EN HIERRO TUBO DE 7/8 CALIBRE 18, PINTADO CON PINTURA METALIZADA,  ASIENTO Y ESPLADAS EN POLIORETANO INYECTADO TIPO PIEL INTEGRAL FACIL MENTE LAVABLE, IMPERMEABLE , DE ALTA DENSIDAD 85+1, DUREZA SHORE, INYECTADO SOBRE ALMA DE MADERA, DE 12 MM. SW ESPESOR CON CURVAS ERGONOMICAS, QUE GENERA COMODIDAD PARA AMPLIOS PERIODOS CON BRASO INCORPORADOEN TRIPLE DE 15 MM. DE EXPESOR ENCHAPADA EN FORMICA CON RESISTENCIA AL RAYADO, CON DIMENSIONES: ASIENTO ESPESOR DE 5 CM. ANCHO DE 48 CM. LARGO DE 43 CM. ESPALDAR ALTO 34 CM. ANCHO DE 48 CM. EXPESOR DE 4 CM, COLOR NEGRO</t>
  </si>
  <si>
    <t xml:space="preserve">SILLA GERENTE DOTTY ASIENTO Y ESPALDAR E CARAZA ANCHA DE ESPALDAR MEDIO SON ESPUMA ERGONOMICA INYECTADA. PLATO NEUTMATICO  REF EGO16, INCLUYE RODACHINES </t>
  </si>
  <si>
    <t>SILLAS MAMBO SIN BRASO</t>
  </si>
  <si>
    <t>REF. EGO14 CARCAZA DE ESPALDAR MEDIO ESPUMA INYECTADA. MECANISMO NEUMATICOS DE GRADUACIÓN DE ALTURA GASE CORMADOA CON 5 RODACHINES</t>
  </si>
  <si>
    <t>SILLA ISOSELES ESTRUCTURA APILABLE EN TUBO DE 1" CAL. 18. TAPICERIA EN PAÑO ROJO REF. SI106</t>
  </si>
  <si>
    <t>SILLA PLEGABLE NICKY 25001 NGO</t>
  </si>
  <si>
    <t>SILLA DE SPALDAR ALTOMECANISMO NEUMATICO DE GRADUACIOIN DE ALTURA REF. EG003</t>
  </si>
  <si>
    <t>TELON DE PROYECCION DE PARED CON ESTRUCTURA METALICA</t>
  </si>
  <si>
    <t>TELAS QUE NO SE DESTIÑAN AL PORCESO DE LAVADO AL CLOR SEGÚN NECESIDAD</t>
  </si>
  <si>
    <t>EN MADERA LINEA 800</t>
  </si>
  <si>
    <t>EN TRIPLEX DE 15 CM DE EXPESO FARRADOS EN DORMICA BLANCA</t>
  </si>
  <si>
    <t>EL ALUMINIO CROMADO VIDRIO Y ENTRPAÑO X METRO CUADRODO</t>
  </si>
  <si>
    <t xml:space="preserve">BIBLIOTECA EN MADERA </t>
  </si>
  <si>
    <t>CORTINA EN TELA X MTS</t>
  </si>
  <si>
    <t>TELÓN PARA PORYECTAR</t>
  </si>
  <si>
    <t>METALICA CERRADO DOBLE SERVICIO REF: ENO22 alt 2mtsx ancho 090 mts x 0,50fondo</t>
  </si>
  <si>
    <t>alto 2 ancho 090 fondo 0,50 mts</t>
  </si>
  <si>
    <t>EN MADERA  CON PUERTA MANIJA Y CHAPA</t>
  </si>
  <si>
    <t>DE 3 SECCIONES METALICO</t>
  </si>
  <si>
    <t>EN MADERA OVALADA</t>
  </si>
  <si>
    <t xml:space="preserve">PORTATIL DOBLE PLEGABLE, ESTRUCURA METALICA </t>
  </si>
  <si>
    <t>ETERNA BLANCA</t>
  </si>
  <si>
    <t>ESTRUTURA METASLICA CALIBRE 28MM.</t>
  </si>
  <si>
    <t>EN ESTRUCTURA DE MAREA VIDRIO CORREDISO CON CHAPA EN FONDO FARRADO EN PAÑO DE 170X.90.15 MTS.</t>
  </si>
  <si>
    <t xml:space="preserve">PULMAS </t>
  </si>
  <si>
    <t>MUEBLE PARA TROFEOS SEGÚN MEDIDA</t>
  </si>
  <si>
    <t>EN MEDRA SEGÚN MEDIDAS</t>
  </si>
  <si>
    <t>PORTATIL PROFESIONAL PRO 3CPOS SPA</t>
  </si>
  <si>
    <t>MUEBLES PARA COMPUTADOR</t>
  </si>
  <si>
    <t>SOPORTE PARA VIDEO BEAM</t>
  </si>
  <si>
    <t>DE 1.80ALTOX 1,5  ANCHOX.30 FONDO MTS.</t>
  </si>
  <si>
    <t>ARCHIVADO METALICO DE 4 GAVETAS</t>
  </si>
  <si>
    <t>DE CUATRO GAVETAS METALICO CALIBRE 22 DE 1.35 ALTO X 0.47 ANCHO X 0.70 FONDO CON CHAPA DE BLOQUE CENRAL</t>
  </si>
  <si>
    <t>EN MADERA DE 4 CAJONES CON CHAPA DE  BLOQUEO</t>
  </si>
  <si>
    <t>CARPETA CUATRO SOLAPAS DESACIFICADA</t>
  </si>
  <si>
    <t>DE CARTULINA 300 GR LIBRE DE ACIDO - COLOR AMARILLO</t>
  </si>
  <si>
    <t>FOLDER  CELUGIA (CARPETA CAFÉ)</t>
  </si>
  <si>
    <t>CARPETA CAFÉ OFICIO</t>
  </si>
  <si>
    <t xml:space="preserve">GANCHO MARIPOSA </t>
  </si>
  <si>
    <t>CAJA POR 50 UNIDADES</t>
  </si>
  <si>
    <t>CAJA</t>
  </si>
  <si>
    <t>GANCHOS COSEDORA INDUSTRIAL</t>
  </si>
  <si>
    <t>ESTANDAR COBRIZADO</t>
  </si>
  <si>
    <t>LAPICERO TINTA NEGRA</t>
  </si>
  <si>
    <t>REF 100</t>
  </si>
  <si>
    <t>LAPICERO TINTA ROJA</t>
  </si>
  <si>
    <t>REF. 100</t>
  </si>
  <si>
    <t>LAPICERO UNI.BOLL</t>
  </si>
  <si>
    <t>UM-120</t>
  </si>
  <si>
    <t>REF. 90654</t>
  </si>
  <si>
    <t>PEGANTE EN BARRA PEGASTIC</t>
  </si>
  <si>
    <t>DE 40 GRS.</t>
  </si>
  <si>
    <t>PORTAMINA No: 0.7</t>
  </si>
  <si>
    <t xml:space="preserve">BLOK ANOTACIONES </t>
  </si>
  <si>
    <t>TAMOÑO CARTA</t>
  </si>
  <si>
    <t>CD DVD</t>
  </si>
  <si>
    <t>CINTA TRASNSPARENTE ANCHA</t>
  </si>
  <si>
    <t>ANCHA</t>
  </si>
  <si>
    <t>GANCHO CLIP</t>
  </si>
  <si>
    <t>CAJ X 2100 UNIDADES</t>
  </si>
  <si>
    <t>LAPICERO MICRO PUNTA</t>
  </si>
  <si>
    <t>PAPEL BOND BLANCO</t>
  </si>
  <si>
    <t>TAMAÑO CARTA 75-90 GRAMOS REMA X HOJAS DE 500 UD</t>
  </si>
  <si>
    <t>RESMA</t>
  </si>
  <si>
    <t>PAPEL BOND MENBRETEADO</t>
  </si>
  <si>
    <t>TAMANO CARTA DE 75 -90 GRAMOS RSMA DE 500 UD</t>
  </si>
  <si>
    <t>SOBRE MANILA TAMAÑO CARTA</t>
  </si>
  <si>
    <t>ESPECIAL REF. 25X31 PAPEL ECOLOGICO</t>
  </si>
  <si>
    <t>SOBRE MANILA OFICIO</t>
  </si>
  <si>
    <t>REF 23X35 PAPEL ECOLOGICO</t>
  </si>
  <si>
    <t xml:space="preserve">ALMOHADILLA PARA SELLO </t>
  </si>
  <si>
    <t>LAPIZ DE MINA GRAFITO</t>
  </si>
  <si>
    <t>No. 2 NEGRO</t>
  </si>
  <si>
    <t>FABER GRIPMATIC 0,7, CAJA X 12 UD</t>
  </si>
  <si>
    <t>CAJA X 10 UD</t>
  </si>
  <si>
    <t>TORRE X 100 UD</t>
  </si>
  <si>
    <t>GRIP FINEPEN460 DE 0.4 MM. NEGRO, CAJA X 12 UD</t>
  </si>
  <si>
    <t>LAMIX</t>
  </si>
  <si>
    <t>LIBRETA PAEPL PERIODICA</t>
  </si>
  <si>
    <t>CARTA</t>
  </si>
  <si>
    <t>PEGANTE COLBÓN PARA PAPEL</t>
  </si>
  <si>
    <t>FRASCO</t>
  </si>
  <si>
    <t>BANDAS DE CAUCHO</t>
  </si>
  <si>
    <t>GANCHO PLASTICO PARA LEGAJADOR</t>
  </si>
  <si>
    <t>PAQUETE</t>
  </si>
  <si>
    <t>MINAS PARA EXFERO LAMIX</t>
  </si>
  <si>
    <t>DIPLOMAS</t>
  </si>
  <si>
    <t>ACTAS DE GRADO</t>
  </si>
  <si>
    <t>FOROS EN PLASTICO ACETATO PARA DIPLOMAS</t>
  </si>
  <si>
    <t>PAPEL KIMBERLY A DIS TINTAS CON EL LOGOTIPO DE LA UNIVERSIDAD</t>
  </si>
  <si>
    <t>ALCOHOL ETILICO</t>
  </si>
  <si>
    <t xml:space="preserve"> FRASCO</t>
  </si>
  <si>
    <t>PAQUETE  COLOR TRANSPARENTES</t>
  </si>
  <si>
    <t>TINTA PARA RECARGA MARCADORES MNEGRA</t>
  </si>
  <si>
    <t>TINTA PARA RECARGA MARCADORES ROJA</t>
  </si>
  <si>
    <t>TORRE</t>
  </si>
  <si>
    <t>USB 32 GB.</t>
  </si>
  <si>
    <t>MARCADOR BORRABLE RECARGABLE</t>
  </si>
  <si>
    <t>RECARGABLE</t>
  </si>
  <si>
    <t>MARCADOR PERMANENTE</t>
  </si>
  <si>
    <t>RESALTADOR VERDE</t>
  </si>
  <si>
    <t>RESALTADOR AMARILLO</t>
  </si>
  <si>
    <t>CORRECTOR LIQUIDO</t>
  </si>
  <si>
    <t>CHARPIES</t>
  </si>
  <si>
    <t>PUST HIT DE COLORES</t>
  </si>
  <si>
    <t>CARTULINA PLIEGO</t>
  </si>
  <si>
    <t>TIJERAS GRANDES</t>
  </si>
  <si>
    <t>CHINCHES</t>
  </si>
  <si>
    <t>BISTURY</t>
  </si>
  <si>
    <t>VINILO 250 C.C.</t>
  </si>
  <si>
    <t>SACAGANCHOS</t>
  </si>
  <si>
    <t>PERFORADORAS</t>
  </si>
  <si>
    <t>COSEDORA INDUSTRIAL</t>
  </si>
  <si>
    <t>PERFORADORA INDUSTRILA</t>
  </si>
  <si>
    <t>PILAS AAA</t>
  </si>
  <si>
    <t>REGLAS METALICAS</t>
  </si>
  <si>
    <t>BORRADOR PARA TABLERO EN ACRILICO</t>
  </si>
  <si>
    <t>MAUSE</t>
  </si>
  <si>
    <t>CALCULADORA 16 DIGITOS</t>
  </si>
  <si>
    <t>FECHADORES</t>
  </si>
  <si>
    <t>SELLO RADICALES CORRESPONDENCIA</t>
  </si>
  <si>
    <t>BOLSAS PLSTICAS PARA EMPACAR</t>
  </si>
  <si>
    <t>COLORES VARIADO</t>
  </si>
  <si>
    <t>VARIOS COLORES</t>
  </si>
  <si>
    <t>GRANDE</t>
  </si>
  <si>
    <t>PAR AAA</t>
  </si>
  <si>
    <t>PAR AA</t>
  </si>
  <si>
    <t>DE 30 CM.</t>
  </si>
  <si>
    <t>CON FECHA, HORA DE RECIBIDO, Y OFICINA QUIEN RECIBE</t>
  </si>
  <si>
    <t>PAQUETE DE TAMAÑO MEDIANO</t>
  </si>
  <si>
    <t>POR INVITACIÓN DIRECTA</t>
  </si>
  <si>
    <t>LASSER SAMSUNG ML-2855 ND</t>
  </si>
  <si>
    <t>TONNER SAMSUNG MLTD 101S</t>
  </si>
  <si>
    <t>TONNER SAMSUNG 105L</t>
  </si>
  <si>
    <t>TONNER SAMSUNG 205</t>
  </si>
  <si>
    <t>TINTA IMPRESORA EPSON PHOTO 1410 (1 set de 6 tintas)</t>
  </si>
  <si>
    <t>CARTUCHO DESKEJET 15 HP</t>
  </si>
  <si>
    <t>TONNER 15A 1000 SERIES</t>
  </si>
  <si>
    <t>CARTUCHO HP 675 COLOR</t>
  </si>
  <si>
    <t>CARTUCHO HP 675 NEGRO</t>
  </si>
  <si>
    <t>CARTUCHO No. 22 COLOR</t>
  </si>
  <si>
    <t>TONER HP LASERJET 1022 12A</t>
  </si>
  <si>
    <t>TONNER 05X</t>
  </si>
  <si>
    <t>TONNER 12A</t>
  </si>
  <si>
    <t xml:space="preserve">TONNER 64A </t>
  </si>
  <si>
    <t>TONNER 49 A</t>
  </si>
  <si>
    <t>TONNER 35 A</t>
  </si>
  <si>
    <t>TONNER 78 A</t>
  </si>
  <si>
    <t>TONNER 85 A</t>
  </si>
  <si>
    <t>TONNER 90 A</t>
  </si>
  <si>
    <t>TONNER 80 A</t>
  </si>
  <si>
    <t>TONNER HP LASSER P2055 DN 05 A</t>
  </si>
  <si>
    <t>TONNER HP LASSER JEP P1606</t>
  </si>
  <si>
    <t>CARTUCHO DELL PHOTO926 NEGRO</t>
  </si>
  <si>
    <t>TONNER MI27 NF MFR, 83 A</t>
  </si>
  <si>
    <t>RODILLO SAMSUNG 101 COLOR VERDE OSCURO</t>
  </si>
  <si>
    <t>RODILLO HP 05X COLOR VERDE OSCURO</t>
  </si>
  <si>
    <t>RODILLO HP 78A COLOR VERDE OSCURO</t>
  </si>
  <si>
    <t>RODILLO HP 12A COLOR VERDE OSCURO</t>
  </si>
  <si>
    <t>POLVILLO UNIVERSAL HP COMPONENTES DE COLOMBIA MPT6</t>
  </si>
  <si>
    <t>POLVILLO UNIVERSAL SAMDUNG ML 5000</t>
  </si>
  <si>
    <t>POLVILLO SUMMIT CALIDAD AA</t>
  </si>
  <si>
    <t>CARTUCHO HP 901 COLOR</t>
  </si>
  <si>
    <t>POLVILLO UNISET SAMSUNG 101</t>
  </si>
  <si>
    <t>CARTUCHO HP 901 NEGRO</t>
  </si>
  <si>
    <t>CARTUCHO HP 75 COLOR</t>
  </si>
  <si>
    <t>CARTUCHO HP 74 NEGRO</t>
  </si>
  <si>
    <t>CARTUCHO HP 78 COLOR</t>
  </si>
  <si>
    <t>TONNER HP 81 A MFP M 630</t>
  </si>
  <si>
    <t>TONNER RICO SPC 320 DN</t>
  </si>
  <si>
    <t xml:space="preserve">TONNER HP CE 310A </t>
  </si>
  <si>
    <t xml:space="preserve">TONNER HP CE 311A </t>
  </si>
  <si>
    <t xml:space="preserve">TONNER HP CE 312A </t>
  </si>
  <si>
    <t xml:space="preserve">TONNER HP CE 313A </t>
  </si>
  <si>
    <t>CINTA PARA IMPRESORA DE PUNTO LX300</t>
  </si>
  <si>
    <t>CARTUCHO No. 21 COLOR NEGRO</t>
  </si>
  <si>
    <t>TINTA IMPRESORA EPSSON L 555 NEGRA</t>
  </si>
  <si>
    <t>TINTA IMPRESORA EPSSON L 555  ROJA</t>
  </si>
  <si>
    <t>TINTA IMPRESORA EPSSON L 555  AZUL</t>
  </si>
  <si>
    <t>TINTA IMPRESORA EPSSON L 555  AMARILLO</t>
  </si>
  <si>
    <t>CARTUCHO HP 45 NEGRO</t>
  </si>
  <si>
    <t>CARTUCHO HP 23 COLOR</t>
  </si>
  <si>
    <t>TONNER HP 36 A VEERDE OSCURO</t>
  </si>
  <si>
    <t>RODILLO 85A VERDEE OSCURO</t>
  </si>
  <si>
    <t xml:space="preserve">TONNER SANSUMG 203L </t>
  </si>
  <si>
    <t>CARTUCHO DELL PHOTO 926 COLOR</t>
  </si>
  <si>
    <t>TONNER SAMSUG 111</t>
  </si>
  <si>
    <t>CUCHILLA LIMPIADORA PAR TONNER 85A</t>
  </si>
  <si>
    <t>BOLSA O FRASCO</t>
  </si>
  <si>
    <t>6 MESES</t>
  </si>
  <si>
    <t>SJCOM SJ500 PLUS SUMERGIBLE</t>
  </si>
  <si>
    <t>MODELO KX-TS500LX</t>
  </si>
  <si>
    <t>VIXIA HF R700 FULL HD 57X</t>
  </si>
  <si>
    <t>IP WIFI INALAMBICA</t>
  </si>
  <si>
    <t>COMUTADOR TELFONICO O PLANTA TELEFONICA</t>
  </si>
  <si>
    <t>KX - TES 824 PBX</t>
  </si>
  <si>
    <t>INALAMBRICO ALTA VOZ MANOS LIBRES REF: D121</t>
  </si>
  <si>
    <t>KX FT 947</t>
  </si>
  <si>
    <t>HARMAN KARDON HK 3700</t>
  </si>
  <si>
    <t>INALAMBRICO PREOFESIONAL UHF PREVIENE INTERFERENCIA</t>
  </si>
  <si>
    <t>PROFESIONAL CABINA 300W BLU VTA</t>
  </si>
  <si>
    <t>CABLE ANNON PARA MICROFONO</t>
  </si>
  <si>
    <t>USB MACHO A HEMBRA CABLE XLR</t>
  </si>
  <si>
    <t>VCT - R640 LIGERO</t>
  </si>
  <si>
    <t>edding 200</t>
  </si>
  <si>
    <t>AHARPIE</t>
  </si>
  <si>
    <t>FABER CASSTEL</t>
  </si>
  <si>
    <t>STUMARK 75*75 OFFI-ESCO 300 H</t>
  </si>
  <si>
    <t>OFICINA 6-1/2 NEGRAS WINGO</t>
  </si>
  <si>
    <t>CAJA DE COLORES TRITTO</t>
  </si>
  <si>
    <t>TIPO TIJERA, TRITTON</t>
  </si>
  <si>
    <t>RAPID 120</t>
  </si>
  <si>
    <t>KANGARO DP-480/12 HOJAS</t>
  </si>
  <si>
    <t>OFFIESCO OE-324 7O HJ</t>
  </si>
  <si>
    <t>XG-833/40 HOJAS</t>
  </si>
  <si>
    <t>FOMI1150</t>
  </si>
  <si>
    <t>GENIOS DX-120 USB NEGRO</t>
  </si>
  <si>
    <t>MH 16</t>
  </si>
  <si>
    <t>POINTER</t>
  </si>
  <si>
    <t>NORMA PQT*20</t>
  </si>
  <si>
    <t>PAQUEETE</t>
  </si>
  <si>
    <t>VOLOR UNITA. INCLUIDO IVA</t>
  </si>
  <si>
    <t>VITRINAS MOSTRADOR</t>
  </si>
  <si>
    <t>ALTO 1,10XANCHO1,50XFONDO040 MTS</t>
  </si>
  <si>
    <t>SUPERFICIE EN LAIMNA, BASE DE TUBO CUADRADO ANCHO .80XFONDO 0,50 REF: PI001</t>
  </si>
  <si>
    <t>FILTROS PARA ASPIRADORA</t>
  </si>
  <si>
    <t>VALOR ESTIMIDO PARA 2017</t>
  </si>
  <si>
    <t>EN MADERA FORRADAS EN FORMICA, CON TAPA, PUERTA Y CHAP</t>
  </si>
  <si>
    <t>SUPER DRIVE USB DE APLLE</t>
  </si>
  <si>
    <t>CAMARA DE SEGURIDAD LOREX 8 CHANNEL NVR/4X LNB2153B/LND152B</t>
  </si>
  <si>
    <t>IMPRESORA FOTOGRAFICA DE TANQUES DE TINTA, PARA IMPRIMIR FOTOS, CE, DVD, Y DOCUMENTOS/EPSON L1800</t>
  </si>
  <si>
    <t xml:space="preserve">BASE MESA PARA MICROFONOS </t>
  </si>
  <si>
    <t>CABLE MINI PLUG A MINI PLUG</t>
  </si>
  <si>
    <t>CONVERTIDOR  DEPLUG APLUG</t>
  </si>
  <si>
    <t xml:space="preserve">CABLE ESTERO MACHO RCA DESOR </t>
  </si>
  <si>
    <t>CABLE CONVERTIDOR PLUG 3.5 A RCA 1.5M</t>
  </si>
  <si>
    <t xml:space="preserve">FILTRO ANTI.POP </t>
  </si>
  <si>
    <t>POP FILTER PARA MICROFONOS VACALES</t>
  </si>
  <si>
    <t>MICROFONO CONDENSADOR AKG PERCEPIÓN 120XLR PERCEPTIÓN 120  XLR GRABACIÓN CO BASE Y PIANA</t>
  </si>
  <si>
    <t xml:space="preserve">BASE TRIPODE </t>
  </si>
  <si>
    <t>CAPTURADRO EXTERNO AUDIO Y VIDEO USB ENCORE</t>
  </si>
  <si>
    <t>ENMVG VHS A DVD</t>
  </si>
  <si>
    <t>AUDIFONOS DIADEM</t>
  </si>
  <si>
    <t>HS-500S CON CONTROL DE VOLUMEN</t>
  </si>
  <si>
    <t xml:space="preserve">CAMARA WEB USB LEDS MICROFONO </t>
  </si>
  <si>
    <t>WEBCAM INTERNET</t>
  </si>
  <si>
    <t>SOPORTE PARA DVD DE PARED</t>
  </si>
  <si>
    <t xml:space="preserve">REPRODUCTOR DVD SAMCUNG DVD-E360 </t>
  </si>
  <si>
    <t>FULL HD WMV JPG DESDE USB</t>
  </si>
  <si>
    <t>SITEMA DE SONIDO PARLANTES</t>
  </si>
  <si>
    <t>GENIUS SW-G2.1 1250 SUBWOOFER 38W</t>
  </si>
  <si>
    <t>cable hdmi de 5.0 mt conete</t>
  </si>
  <si>
    <t xml:space="preserve">xbox ps3 lcd led pc </t>
  </si>
  <si>
    <t>tarjeta importada de estándar video</t>
  </si>
  <si>
    <t>t. pci-e 1x firewine 4.6 computozy zf</t>
  </si>
  <si>
    <t>tarjeta importada de fullhdvideo</t>
  </si>
  <si>
    <t>avermedia c027</t>
  </si>
  <si>
    <t>achivador lineal</t>
  </si>
  <si>
    <t>toner 2035</t>
  </si>
  <si>
    <t>tv de 55"</t>
  </si>
  <si>
    <t>lcd 55"</t>
  </si>
  <si>
    <t>GRAVADOR PERIODISTA</t>
  </si>
  <si>
    <t>cargador de pilas</t>
  </si>
  <si>
    <t>STIKER TAMAÑO 5 CMX 2.5 CM IMPRESORA DE TINTA</t>
  </si>
  <si>
    <t xml:space="preserve">ROLLO </t>
  </si>
  <si>
    <t xml:space="preserve">PAPEL MATALIZADO CON EL LOGO DE LA USCO, ROLLO CON 500 UNIDADES </t>
  </si>
  <si>
    <t>IMPRESORA DE TRABAJO PESADO</t>
  </si>
  <si>
    <t>HP LASERT JET 600 M601</t>
  </si>
  <si>
    <t>PAPEL ADHESIVO DE COLORES</t>
  </si>
  <si>
    <t>CARPETA COLGANTES</t>
  </si>
  <si>
    <t>SACAPUNTAS METALICOS</t>
  </si>
  <si>
    <t>CINTA TRASNSPRENTE DELGADA</t>
  </si>
  <si>
    <t>IMPRESORA LASER JET P 1006, OFICINA DE COBRO PERSUATIVO</t>
  </si>
  <si>
    <t>MALETINES</t>
  </si>
  <si>
    <t>TABLEROS EN CORCHO</t>
  </si>
  <si>
    <t>ENGRAPADORA</t>
  </si>
  <si>
    <t>CAJA HUMECEDOR  DACTILAR SORT KWIK</t>
  </si>
  <si>
    <t>SACA GANCHOS INDUSTRIAL</t>
  </si>
  <si>
    <t>TINTA PARA ALMOHADILLAS</t>
  </si>
  <si>
    <t>ROJA</t>
  </si>
  <si>
    <t>PROTETOR DE CHEQUES</t>
  </si>
  <si>
    <t>HUELLERO DACTILAR</t>
  </si>
  <si>
    <t>ARCHIVADOR DE FUELLE</t>
  </si>
  <si>
    <t>GULLOTINA PARA OFICINA</t>
  </si>
  <si>
    <t>BLURAY QUEMADOR LECTOR EXTERNO</t>
  </si>
  <si>
    <t>NVR/4X LNB2153B/LND152B</t>
  </si>
  <si>
    <t>3D DVDCD RW USB</t>
  </si>
  <si>
    <t>ST3U28S12K</t>
  </si>
  <si>
    <t>BASE METALICA, PLEGABLE TAKSTAR ST102</t>
  </si>
  <si>
    <t xml:space="preserve">CONVERTIDOR DE MINI PLUG A PLUG </t>
  </si>
  <si>
    <t>stereo</t>
  </si>
  <si>
    <t>zoud 30</t>
  </si>
  <si>
    <t>audio</t>
  </si>
  <si>
    <t>vocales estudio de gabacion</t>
  </si>
  <si>
    <t>120xlr percepcion 120 xlr con abase</t>
  </si>
  <si>
    <t>manl tmts</t>
  </si>
  <si>
    <t>digital ws- 853 8gb interna sd</t>
  </si>
  <si>
    <t>FOTOGRAFICA TABLOIDE/5760 X 1440 DPI</t>
  </si>
  <si>
    <t>EPSON VIIH688020 POWERLITE 97H. ELECTRO 22</t>
  </si>
  <si>
    <t>ENERGE DIGITAL</t>
  </si>
  <si>
    <t>papeleras</t>
  </si>
  <si>
    <t>CILINDRICO CROMADA CON TAPA</t>
  </si>
  <si>
    <t>PARA RCHIVADOR</t>
  </si>
  <si>
    <t>ADHESIVO</t>
  </si>
  <si>
    <t>METALICO CROMADO</t>
  </si>
  <si>
    <t xml:space="preserve">TCG 200-70 </t>
  </si>
  <si>
    <t>GBC MODELO 5500</t>
  </si>
  <si>
    <t>BIOMETRICA DACTILAR</t>
  </si>
  <si>
    <t>U ARE 4500 DIGITAL</t>
  </si>
  <si>
    <t>DE 25X45 TAMAÑO OFICIO</t>
  </si>
  <si>
    <t>TELEFONOS DIGITALES INALAMBRICOS</t>
  </si>
  <si>
    <t>CAPAS IMPERMEABLES</t>
  </si>
  <si>
    <t>BISTURÍ</t>
  </si>
  <si>
    <t>PAPELEA PARA ESCRITORIO</t>
  </si>
  <si>
    <t xml:space="preserve">MESA OVALADA DE 8 PUESTOS </t>
  </si>
  <si>
    <t>FOTOCOPIADORA</t>
  </si>
  <si>
    <t>SUB- ESTACIOIN ELECTRICA</t>
  </si>
  <si>
    <t>CIRUCUITO CERRADO DE SEGURIDAD CON 7 CAMARAS</t>
  </si>
  <si>
    <t>CAJA PLASTICA HERMETICA</t>
  </si>
  <si>
    <t>ESTABILIZADOR</t>
  </si>
  <si>
    <t>TELON  DE PROYECCION</t>
  </si>
  <si>
    <t xml:space="preserve">AMPLIFICADOR </t>
  </si>
  <si>
    <t>RADIOS DE ONDA CORTA</t>
  </si>
  <si>
    <t>SONIDO CON BAGLES</t>
  </si>
  <si>
    <t>MESA FUTURISTA PARA LECTURA</t>
  </si>
  <si>
    <t>CORTINAS</t>
  </si>
  <si>
    <t xml:space="preserve">Accesorio Sanitarios grifería </t>
  </si>
  <si>
    <t>Accesorios grifería orinal</t>
  </si>
  <si>
    <t>Adaptador hembra 1"</t>
  </si>
  <si>
    <t>Adaptador hembra 2"</t>
  </si>
  <si>
    <t>Adaptador hembra 3"</t>
  </si>
  <si>
    <t>Adaptador hembra 4"</t>
  </si>
  <si>
    <t>Adaptador macho 1"</t>
  </si>
  <si>
    <t>Adaptador macho 1/2"</t>
  </si>
  <si>
    <t>Adaptador macho 2"</t>
  </si>
  <si>
    <t>Adaptador macho 3"</t>
  </si>
  <si>
    <t>Adaptador macho 4"</t>
  </si>
  <si>
    <t>adhesivo para lijadora dewalh d264451</t>
  </si>
  <si>
    <t>Adhesión lijadora D26451</t>
  </si>
  <si>
    <t>Agua Stop</t>
  </si>
  <si>
    <t>Alambre liso 16</t>
  </si>
  <si>
    <t>alicate con aislante 10"</t>
  </si>
  <si>
    <t>Alacranes o prensas manuales de 1 mts.</t>
  </si>
  <si>
    <t>Angulo 1 Pulgada x 1/8</t>
  </si>
  <si>
    <t>Angulo 2 de pulgadas x 1/8</t>
  </si>
  <si>
    <t>Angulo 3/8 x 1/8</t>
  </si>
  <si>
    <t>Árbol Sanitario de entrada</t>
  </si>
  <si>
    <t>Asfalto liquido R-190</t>
  </si>
  <si>
    <t>Barras</t>
  </si>
  <si>
    <t>Batería Sanitaria</t>
  </si>
  <si>
    <t>Bisagras cabrerizas 3x3</t>
  </si>
  <si>
    <t>bisagras tubular</t>
  </si>
  <si>
    <t>Brazo hidráulico ref. 002 trabajo liviano</t>
  </si>
  <si>
    <t xml:space="preserve">brocha 1" </t>
  </si>
  <si>
    <t>Brocha 2”</t>
  </si>
  <si>
    <t>Brocha 3”</t>
  </si>
  <si>
    <t>Brocha 4”</t>
  </si>
  <si>
    <t>Buggis nuevos</t>
  </si>
  <si>
    <t>Binda boquilla</t>
  </si>
  <si>
    <t>Cadena de 3/8” para colgar la parrilla</t>
  </si>
  <si>
    <t>Cadenas de 80 cc y 42 dientes y para una espada de 70 cc</t>
  </si>
  <si>
    <t>Cable dúplex encauchetado calibre 12 para instalación de luces.</t>
  </si>
  <si>
    <t>Canaleta Plásticas</t>
  </si>
  <si>
    <t>Canaleta en laminas</t>
  </si>
  <si>
    <t xml:space="preserve">Cemento Blanco </t>
  </si>
  <si>
    <t xml:space="preserve">Cemento Gris </t>
  </si>
  <si>
    <t>Chazos de plástico con tornillo de 1/4, 5/16 y 3/8.</t>
  </si>
  <si>
    <t>chazos plásticos expandibles</t>
  </si>
  <si>
    <t>Cheque Hidráulico 1”</t>
  </si>
  <si>
    <t>Cheque Hidráulico de 1/2</t>
  </si>
  <si>
    <t>Cheques Hidráulicos de 3/4</t>
  </si>
  <si>
    <t>Chazos para draiboll</t>
  </si>
  <si>
    <t>cinta multiseal 015x10 mts</t>
  </si>
  <si>
    <t>Cinta Teflón</t>
  </si>
  <si>
    <t>Codos PVC 1/2” aprensión</t>
  </si>
  <si>
    <t>Codos PVC 1" aprensión</t>
  </si>
  <si>
    <t>Codos PVC 2" aprensión</t>
  </si>
  <si>
    <t>Codos PVC 3" aprensión</t>
  </si>
  <si>
    <t>Codos PVC 3/4" aprensión</t>
  </si>
  <si>
    <t>Codos PVC 4" aprensión</t>
  </si>
  <si>
    <t>Codos sanitario 1" PVC</t>
  </si>
  <si>
    <t>Codos sanitario 2" PVC</t>
  </si>
  <si>
    <t>Codos sanitario 3" PVC</t>
  </si>
  <si>
    <t>Codos sanitario 4" PVC</t>
  </si>
  <si>
    <t>compresor pequeño portátil</t>
  </si>
  <si>
    <t>corta frio</t>
  </si>
  <si>
    <t>Compas grande</t>
  </si>
  <si>
    <t>Destornillador de estría grande</t>
  </si>
  <si>
    <t>Destornillador inalámbrico recargable</t>
  </si>
  <si>
    <t>Dril negro grueso</t>
  </si>
  <si>
    <t>disco para la sierra circular de 14 y 16"</t>
  </si>
  <si>
    <t>Disco para sierra de 10”</t>
  </si>
  <si>
    <t>Disco para pulidora 3” Metal</t>
  </si>
  <si>
    <t>Disco pulir metal 7”</t>
  </si>
  <si>
    <t xml:space="preserve">disco punta de diamante grande </t>
  </si>
  <si>
    <t>disco punta de diamante pequeño</t>
  </si>
  <si>
    <t>engrapadora</t>
  </si>
  <si>
    <t>escuadras metálicas de 30 cm</t>
  </si>
  <si>
    <t>escuadras metálicas de 45 cm</t>
  </si>
  <si>
    <t>Espátulas de 3”</t>
  </si>
  <si>
    <t>Espátulas de 4”</t>
  </si>
  <si>
    <t>Estuco Plástico</t>
  </si>
  <si>
    <t>Extractores siemens No.16</t>
  </si>
  <si>
    <t>Flexo metro de 10 metros</t>
  </si>
  <si>
    <t>Flexo metro de 7 metros</t>
  </si>
  <si>
    <t>formones de 1"</t>
  </si>
  <si>
    <t>formones de 1/2"</t>
  </si>
  <si>
    <t>formones de 1/4"</t>
  </si>
  <si>
    <t>formones de 3/4"</t>
  </si>
  <si>
    <t>Flexometros</t>
  </si>
  <si>
    <t>ganchos para engrapar</t>
  </si>
  <si>
    <t>gravilla de 1/2" triturada</t>
  </si>
  <si>
    <t>hombresolo</t>
  </si>
  <si>
    <t>Juego broca para madera</t>
  </si>
  <si>
    <t>juego de brocas de taladro percutor</t>
  </si>
  <si>
    <t>Juego de Brocas para muro o tungsteno de diferentes diámetros</t>
  </si>
  <si>
    <t>juego de copas con reachy</t>
  </si>
  <si>
    <t>juego de disco para lijadora dewalh d264451</t>
  </si>
  <si>
    <t>Juego de puntas aceradas</t>
  </si>
  <si>
    <t>Juego de lija No. 120</t>
  </si>
  <si>
    <t>Juego de lija No. 150</t>
  </si>
  <si>
    <t>Juego de lija No. 180</t>
  </si>
  <si>
    <t>Juego de lija No. 240</t>
  </si>
  <si>
    <t xml:space="preserve">juego de llaves mixta </t>
  </si>
  <si>
    <t>juego destornillador de estría dimensiones variadas</t>
  </si>
  <si>
    <t>juego destornillador de pala dimensiones variadas</t>
  </si>
  <si>
    <t>Juego grifería para lavamanos</t>
  </si>
  <si>
    <t>Juegos de cuchillas para el tractor corta pasto No.4</t>
  </si>
  <si>
    <t>Juegos de llaves Bristol 3mm a 15mm.</t>
  </si>
  <si>
    <t>juegos de sierra surtida para caladora Dewalt</t>
  </si>
  <si>
    <t>kit para pistola de pintar</t>
  </si>
  <si>
    <t>laca caoba para madera</t>
  </si>
  <si>
    <t>laca mate para madera</t>
  </si>
  <si>
    <t>Laca Transparente Barniz</t>
  </si>
  <si>
    <t>Lámina de triplex 12 mm Pino 1,20 x 2,40</t>
  </si>
  <si>
    <t>Lámina de triplex 15 mm 1,50mm x 2,40</t>
  </si>
  <si>
    <t>Lámina de triplex 9 mm 1,80mm x 2,40</t>
  </si>
  <si>
    <t>Lámina icopor 61 x 122</t>
  </si>
  <si>
    <t>Lámina Kol rol calibre 18</t>
  </si>
  <si>
    <t>Laminas Draiboll</t>
  </si>
  <si>
    <t>Limas redondas</t>
  </si>
  <si>
    <t>Lavamanos</t>
  </si>
  <si>
    <t>Limpiador PVC 1/8</t>
  </si>
  <si>
    <t>Linterna</t>
  </si>
  <si>
    <t>llantas completa para buggy</t>
  </si>
  <si>
    <t>llave de tubo de 24"</t>
  </si>
  <si>
    <t>llave de tubo No.10</t>
  </si>
  <si>
    <t>llave de tubo No.8</t>
  </si>
  <si>
    <t>llave expansiva de 3", 5"" y 10"</t>
  </si>
  <si>
    <t>Llave para lavamanos GRIVAL O GRICOL</t>
  </si>
  <si>
    <t>Llave para lavaplatos completo GRIVAL O GRICOL</t>
  </si>
  <si>
    <t>Llave para orinal GRIVAL O GRICOL</t>
  </si>
  <si>
    <t>Llave paso 1 / 2</t>
  </si>
  <si>
    <t>Llave paso 1"</t>
  </si>
  <si>
    <t>Llave paso 2"</t>
  </si>
  <si>
    <t>Llave paso 3"</t>
  </si>
  <si>
    <t>Llave paso 6"</t>
  </si>
  <si>
    <t>llave terminal de 1/2"</t>
  </si>
  <si>
    <t>Llaves para orinal GRIVAL O GRICOL</t>
  </si>
  <si>
    <t>Maderas Chaflón 3.00 x 30 cm</t>
  </si>
  <si>
    <t>Maderas polines 5 * 5 * 3</t>
  </si>
  <si>
    <t>Maderas tablas burros</t>
  </si>
  <si>
    <t>manguera con acoples de 10m de largo</t>
  </si>
  <si>
    <t>manguera de alta presión</t>
  </si>
  <si>
    <t>Mangueras para lavamanos</t>
  </si>
  <si>
    <t>Mangueras para sanitarios</t>
  </si>
  <si>
    <t>Manija tanque sanitario GRIVAL O GRICOL</t>
  </si>
  <si>
    <t>Manto cetal</t>
  </si>
  <si>
    <t>marco para segueta</t>
  </si>
  <si>
    <t>martillo plástico mediano</t>
  </si>
  <si>
    <t>masilla gris para madera</t>
  </si>
  <si>
    <t>Maseta</t>
  </si>
  <si>
    <t>Mezcladores para Lavaplatos cuelo ganso.</t>
  </si>
  <si>
    <t>Orinales incluye accesorios</t>
  </si>
  <si>
    <t>Palines</t>
  </si>
  <si>
    <t>Palustre de 4”</t>
  </si>
  <si>
    <t>Palustre de 6”</t>
  </si>
  <si>
    <t xml:space="preserve">Pegacor </t>
  </si>
  <si>
    <t>Pegante colbon para madera</t>
  </si>
  <si>
    <t>Pegante silicona transparente ( Líquida)</t>
  </si>
  <si>
    <t>Peinillas de 22 pulgadas</t>
  </si>
  <si>
    <t>Pintura Anoloc PINTUCO o VINILTEX</t>
  </si>
  <si>
    <t>Pintura Anticorrosivo rojo PINTUCO o VINILTEX</t>
  </si>
  <si>
    <t>Pintura Blanca de tráfico Pesado  PINTUCO o VINILTEX</t>
  </si>
  <si>
    <t>Pintura Negra vinilo PINTUCO o VINILTEX</t>
  </si>
  <si>
    <t>Pintura Blanca Tipo I vinilo PINTUCO o VINILTEX</t>
  </si>
  <si>
    <t>Pintura Doméstico Azul PINTUCO o VINILTEX</t>
  </si>
  <si>
    <t>Pintura Doméstico Rojo PINTUCO o VINILTEX</t>
  </si>
  <si>
    <t>Pintura Esmaltada color blanco PINTUCO o VINILTEX</t>
  </si>
  <si>
    <t>Pintura Esmalte Negro PINTUCO o VINILTEX</t>
  </si>
  <si>
    <t>pintura exposica-blanca con diluyente PINTUCO o VINILTEX</t>
  </si>
  <si>
    <t>Pintura Gris Basalto PINTUCO o VINILTEX</t>
  </si>
  <si>
    <t>Pintura Negro tráfico pesado PINTUCO o VINILTEX</t>
  </si>
  <si>
    <t>Pintura Verde Pino PINTUCO o VINILTEX</t>
  </si>
  <si>
    <t>Pinturas Amarillo tráfico pesado PINTUCO o VINILTEX</t>
  </si>
  <si>
    <t>pinzas</t>
  </si>
  <si>
    <t>Platinas 1/ 8 x 3 / 4 ”</t>
  </si>
  <si>
    <t>Planas</t>
  </si>
  <si>
    <t>plomada de punto centro</t>
  </si>
  <si>
    <t>plomadas</t>
  </si>
  <si>
    <t>Prensas manuales No.10</t>
  </si>
  <si>
    <t>Prensas manuales No.12</t>
  </si>
  <si>
    <t>pulidora pequeña</t>
  </si>
  <si>
    <t>Puntillas 1 1/2”</t>
  </si>
  <si>
    <t>Puntillas 1 p / madera</t>
  </si>
  <si>
    <t>Puntillas de 2 ”</t>
  </si>
  <si>
    <t>Puntillas de 3 ”</t>
  </si>
  <si>
    <t xml:space="preserve">Punteros </t>
  </si>
  <si>
    <t>Registro de 2"</t>
  </si>
  <si>
    <t>Registro de 3"</t>
  </si>
  <si>
    <t>Registro de 4"</t>
  </si>
  <si>
    <t>Remachadora Stanley</t>
  </si>
  <si>
    <t>remaches grandes, medianos y pequeños (5c/u)</t>
  </si>
  <si>
    <t>Riata negra o azul para cortinas (ojálate grande)</t>
  </si>
  <si>
    <t>Rodillos Felpa</t>
  </si>
  <si>
    <t>Rollos cinta enmascarar 1/2”</t>
  </si>
  <si>
    <t>Rollos cinta enmascarar 1”</t>
  </si>
  <si>
    <t>Roto martillo capacidad de concretos 2"</t>
  </si>
  <si>
    <t>Seguetas para metal</t>
  </si>
  <si>
    <t>Sellador madera</t>
  </si>
  <si>
    <t xml:space="preserve">serrucho escuadra de 10" </t>
  </si>
  <si>
    <t>sierra con dientes de tusteno 48x16 eje de 7/8</t>
  </si>
  <si>
    <t>Sierra circular manual</t>
  </si>
  <si>
    <t>Sierra circular de 12” portátil</t>
  </si>
  <si>
    <t>Soldadura o Pegante PVC</t>
  </si>
  <si>
    <t xml:space="preserve">Soldadura Wasarco x 1/8 </t>
  </si>
  <si>
    <t>Sonda para tuberías sanitarias (cañería)</t>
  </si>
  <si>
    <t xml:space="preserve">Tarraja con sus respectivos dados </t>
  </si>
  <si>
    <t>Talados portátil de ½ percutor inalámbrico recargable.</t>
  </si>
  <si>
    <t>taladro martillo grande</t>
  </si>
  <si>
    <t>taladro percutor de 1"</t>
  </si>
  <si>
    <t>taladro percutor de 1/2" dewalt</t>
  </si>
  <si>
    <t>Tanque de 1000 litros</t>
  </si>
  <si>
    <t>Tanque para almacenar agua potable</t>
  </si>
  <si>
    <t>TEJAS DE ZINC</t>
  </si>
  <si>
    <t>Tejas Arquitectónicas</t>
  </si>
  <si>
    <t>Thinner</t>
  </si>
  <si>
    <t>Triangulares</t>
  </si>
  <si>
    <t>Tijeras para tubería PVC</t>
  </si>
  <si>
    <t>Tornillos acero galvanizados de 3 pulgadas por 7/16 pulgadas con tuerca y arandelas.</t>
  </si>
  <si>
    <t>Tornillos acero galvanizados de 2 pulgadas por 7/16 pulgadas con tuerca y arandelas.</t>
  </si>
  <si>
    <t>tornillos de 3/4 pulgadas x 1/4 de grueso - rosa fina</t>
  </si>
  <si>
    <t>Tubos para cortina gruesos con soportes</t>
  </si>
  <si>
    <t>Tubo cuadrado de 1" calibre 18</t>
  </si>
  <si>
    <t>Tubo cuadrado de 3/4" calibre 18</t>
  </si>
  <si>
    <t>Tubo de agua lluvia de 2”</t>
  </si>
  <si>
    <t>Tubo para aguas negras de 2" calibre 18</t>
  </si>
  <si>
    <t>Tubo para aguas negras de 1" calibre 18</t>
  </si>
  <si>
    <t>Tubo PVC de 1/2 de presión</t>
  </si>
  <si>
    <t>Tubo PVC de 2" de presión</t>
  </si>
  <si>
    <t>Tubo PVC de 3" de presión</t>
  </si>
  <si>
    <t>Tubo PVC de 4" de presión</t>
  </si>
  <si>
    <t>Tubo sanitario PVC de 2"</t>
  </si>
  <si>
    <t>Tubo sanitario PVC de 3"</t>
  </si>
  <si>
    <t>Tubo sanitario PVC de 4"</t>
  </si>
  <si>
    <t>Unidades Sanitarias Completas</t>
  </si>
  <si>
    <t>Uniones sanitarias de 1"</t>
  </si>
  <si>
    <t>Uniones sanitarias de 2"</t>
  </si>
  <si>
    <t>Uniones sanitarias de 3"</t>
  </si>
  <si>
    <t>Uniones sanitarias de 4"</t>
  </si>
  <si>
    <t>Varilla Cuadrada de 1/2</t>
  </si>
  <si>
    <t>Varilla redonda lisa de 1/2</t>
  </si>
  <si>
    <t>Varilla Cuadrada de 3/8</t>
  </si>
  <si>
    <t>Varilla redonda de 3/8</t>
  </si>
  <si>
    <t>SERVICIOS GENERALES</t>
  </si>
  <si>
    <t>Unid</t>
  </si>
  <si>
    <t>Kilo</t>
  </si>
  <si>
    <t>Bulto</t>
  </si>
  <si>
    <t>rollo</t>
  </si>
  <si>
    <t>Caneca</t>
  </si>
  <si>
    <t>caja</t>
  </si>
  <si>
    <t>m3</t>
  </si>
  <si>
    <t>juego</t>
  </si>
  <si>
    <t>Juego</t>
  </si>
  <si>
    <t>Pliego</t>
  </si>
  <si>
    <t>Galón</t>
  </si>
  <si>
    <t>Frasco</t>
  </si>
  <si>
    <t>Mts</t>
  </si>
  <si>
    <t>metro</t>
  </si>
  <si>
    <t>Galón </t>
  </si>
  <si>
    <t>Libra</t>
  </si>
  <si>
    <t>Und</t>
  </si>
  <si>
    <t>UNI</t>
  </si>
  <si>
    <t>UND</t>
  </si>
  <si>
    <t>8 MESES</t>
  </si>
  <si>
    <t>SELECCIOIN DERECTA</t>
  </si>
  <si>
    <t>PRODUCTOS DE CALIDAD</t>
  </si>
  <si>
    <t>palas con cabo</t>
  </si>
  <si>
    <t>Picas con cabo</t>
  </si>
  <si>
    <t>machetes No.18" y 20"</t>
  </si>
  <si>
    <t>ELEMENTOS CON IVA DEL 5%</t>
  </si>
  <si>
    <t>Alicates para trabajo eléctrico</t>
  </si>
  <si>
    <t>Arrancador de Sodio de 100/400 w</t>
  </si>
  <si>
    <t>Arrancador de Sodio de 70 w</t>
  </si>
  <si>
    <t>Atornillador inalámbrico</t>
  </si>
  <si>
    <t>Balasto Electrónico 2x48 T12 120V Electro control</t>
  </si>
  <si>
    <t xml:space="preserve">Balasto Electrónico 2x96 T12 120V </t>
  </si>
  <si>
    <t>Balasto Electrónico 4x17/4x32</t>
  </si>
  <si>
    <t>Balastro Electrónico 1x36</t>
  </si>
  <si>
    <t>Balastro electrónico 2x 32 T12 120V</t>
  </si>
  <si>
    <t>Base para fotocelda</t>
  </si>
  <si>
    <t>Bombillo Ahorrador 11W</t>
  </si>
  <si>
    <t>Bombillo Ahorrador 20W</t>
  </si>
  <si>
    <t>Bombillo Sodio Tubular 70W</t>
  </si>
  <si>
    <t>Bombillo metal halide de 250W</t>
  </si>
  <si>
    <t>Bombillo metal halide de 400W</t>
  </si>
  <si>
    <t>Bombillo sodio Tubular 150W</t>
  </si>
  <si>
    <t>Borne terminal estanado #2</t>
  </si>
  <si>
    <t>Breaker 1x20 Enchufable Luminex</t>
  </si>
  <si>
    <t>Breaker 1x30 Enchufable Luminex</t>
  </si>
  <si>
    <t>Breaker 1x50 Enchufable Luminex</t>
  </si>
  <si>
    <t>Breaker 2x20 Enchufable Luminex</t>
  </si>
  <si>
    <t>Breaker 2x30 Enchufable Luminex</t>
  </si>
  <si>
    <t>Breaker 2x40 Enchufable Luminex</t>
  </si>
  <si>
    <t>Breaker 2x50 Enchufable Luminex</t>
  </si>
  <si>
    <t>Breaker 3x20 Enchufable Luminex</t>
  </si>
  <si>
    <t>Breaker 3x30 Enchufable Luminex</t>
  </si>
  <si>
    <t>Breaker 3x50 Enchufable Luminex</t>
  </si>
  <si>
    <t>Breaker 3x60 Enchufable Luminex</t>
  </si>
  <si>
    <t>Breaker 3x70 Enchufable Luminex</t>
  </si>
  <si>
    <t>Breaker 3x100 Enchufable Luminex</t>
  </si>
  <si>
    <t>Breaker totalizador 1250 A.</t>
  </si>
  <si>
    <t>Breaker totalizador Regulable 80-125 ABB</t>
  </si>
  <si>
    <t>Breaker totalizador Regulable 150- 200 ABB</t>
  </si>
  <si>
    <t>Cable cobre aislado 500 MCM</t>
  </si>
  <si>
    <t>Cable Cu Aislado #14</t>
  </si>
  <si>
    <t>Cable Cu Aislado THN Pro #2</t>
  </si>
  <si>
    <t>Cable Cu Aislado THN Pro #6</t>
  </si>
  <si>
    <t>Cable Cu Aislado THN Pro #8</t>
  </si>
  <si>
    <t xml:space="preserve">Cable cu dúplex paralelo 2 x 12  </t>
  </si>
  <si>
    <t xml:space="preserve">Cable cu dúplex paralelo 2 x 14 </t>
  </si>
  <si>
    <t>Cable CU Encauchetado 3 X 12</t>
  </si>
  <si>
    <t>Cable CU Encauchetado 3 X 14</t>
  </si>
  <si>
    <t>Cable No.10  THHN/TH Procable viakon #12 AWG 600V.</t>
  </si>
  <si>
    <t>Cable No.12  THHN/TH Procable viakon #12 AWG 600V.</t>
  </si>
  <si>
    <t>Cajas plásticas 5800 PVC Rectangular 2x4</t>
  </si>
  <si>
    <t>Canaleta 20 x 12 adhesiva</t>
  </si>
  <si>
    <t>Chasis 2X48 T:Economico</t>
  </si>
  <si>
    <t>Cinta Vinilo 3M Scotch 33</t>
  </si>
  <si>
    <t>Clavija de Caucho 15A Polo a Tierra</t>
  </si>
  <si>
    <t>Clavija de caucho 3x50A</t>
  </si>
  <si>
    <t>Codo Plastimec 1/2 PVC</t>
  </si>
  <si>
    <t>Codo Plastimec 1 1/4 PVC</t>
  </si>
  <si>
    <t>Codo Plastimec 1 PVC</t>
  </si>
  <si>
    <t>Codo Plastimec 3/4 PVC</t>
  </si>
  <si>
    <t>Codo Plastimec Para Ducto 2 PVC</t>
  </si>
  <si>
    <t>Condensador de 10 MF de 250 V</t>
  </si>
  <si>
    <t>Condensador de 30 MF de 250 V</t>
  </si>
  <si>
    <t xml:space="preserve">Condensador Luminaria 45 MF </t>
  </si>
  <si>
    <t>Cordón Telefónico Resortado 2 Metros</t>
  </si>
  <si>
    <t>Fotocelda 1.000 W.</t>
  </si>
  <si>
    <t xml:space="preserve">Fusibles  Fuente H.15A.  </t>
  </si>
  <si>
    <t xml:space="preserve">Interruptor doble  </t>
  </si>
  <si>
    <t>Interruptor sencillo</t>
  </si>
  <si>
    <t>Interruptor triple</t>
  </si>
  <si>
    <t xml:space="preserve">Cortafríos </t>
  </si>
  <si>
    <t>Extractores industriales</t>
  </si>
  <si>
    <t>Juegos de brocas (Proto)</t>
  </si>
  <si>
    <t>Juego Socket tubo t-8</t>
  </si>
  <si>
    <t>Juego copas de 9 mm a 23 mm y en pulgadas</t>
  </si>
  <si>
    <t>Juegos de llaves mixtas de la 9 mm a 23 mm en pulgadas.</t>
  </si>
  <si>
    <t>Lámpara de sodio 70W</t>
  </si>
  <si>
    <t>Lámpara de sodio150 w 208/220</t>
  </si>
  <si>
    <t>Lámpara Fluorescentes con rejilla 2x20</t>
  </si>
  <si>
    <t>Lámpara Fluorescentes Económica 2x48 sin tubo</t>
  </si>
  <si>
    <t>Lámpara metal 208/220V 400</t>
  </si>
  <si>
    <t>Pinzas de puntas</t>
  </si>
  <si>
    <t>Ponchadora para cable de UTP</t>
  </si>
  <si>
    <t>Probador  ausencia tensión</t>
  </si>
  <si>
    <t>Reflectores 400 w metal Halide</t>
  </si>
  <si>
    <t>Reflectores 250 w metal Halide</t>
  </si>
  <si>
    <t>Reactancia Sodio/Metal Halide 400W. 208/220V (Sin condensa)</t>
  </si>
  <si>
    <t>Reactancia Sodio/Metal 150W 208/220V</t>
  </si>
  <si>
    <t>Reactancia Sodio/Metal Halide 250W. 208/220V (Sin condensa)</t>
  </si>
  <si>
    <t>Regletas blanca de 12 puestos 30A</t>
  </si>
  <si>
    <t>Soket Sline</t>
  </si>
  <si>
    <t>Sisaya 12”</t>
  </si>
  <si>
    <t xml:space="preserve">Tablero 2 Circuitos </t>
  </si>
  <si>
    <t>Tablero 3 Circuitos</t>
  </si>
  <si>
    <t xml:space="preserve">Tapa plástica 5800 rectangular </t>
  </si>
  <si>
    <t>Terminal Anillo Aislado 12-10 Amarillo 1/4</t>
  </si>
  <si>
    <t>Terminal Macho Aislado 12-10 Amarillo</t>
  </si>
  <si>
    <t xml:space="preserve">Terminales hembra  Aislado 12-10 </t>
  </si>
  <si>
    <t>Toma aéreo caucho 15A polo a tierra</t>
  </si>
  <si>
    <t>Toma corriente doble con polo</t>
  </si>
  <si>
    <t>Toma corriente incrustar 50 A</t>
  </si>
  <si>
    <t>Toma teléfono S/P Adhesiva USA</t>
  </si>
  <si>
    <t>Tubo fluorescente 17 w T8</t>
  </si>
  <si>
    <t>Tubo fluorescente 32 w T8</t>
  </si>
  <si>
    <t>Tubo fluorescente T:12 48w</t>
  </si>
  <si>
    <t>Tubo fluorescente T:12 96w</t>
  </si>
  <si>
    <t>Tubo Led T:8 24W</t>
  </si>
  <si>
    <t xml:space="preserve">Tubo Plastimec 1 1/2” PVC </t>
  </si>
  <si>
    <t xml:space="preserve">Tubo Plastimec 1 1/4” PVC </t>
  </si>
  <si>
    <t xml:space="preserve">Tubo Plastimec 1/2” PVC </t>
  </si>
  <si>
    <t xml:space="preserve">Tubo Plastimec 3/4” PVC </t>
  </si>
  <si>
    <t xml:space="preserve">Tubo Telefónico Plastimec 2”X3 </t>
  </si>
  <si>
    <t xml:space="preserve">Varillas de  cobre  CU 5/8  1,80  </t>
  </si>
  <si>
    <t xml:space="preserve">Varillas de  cobre  CU 5/8  2.40   </t>
  </si>
  <si>
    <t>UN</t>
  </si>
  <si>
    <t>UNID</t>
  </si>
  <si>
    <t>ROLLO</t>
  </si>
  <si>
    <t>ELEMENTOS Y MATERIAL DE DE CALIDAD</t>
  </si>
  <si>
    <t>MARCA RECONOCIDAS EN EL MERCADO</t>
  </si>
  <si>
    <t>10 MESES</t>
  </si>
  <si>
    <t>DIRECTA</t>
  </si>
  <si>
    <t>RUBRO: 2021690</t>
  </si>
  <si>
    <t>Copias de llaves para chapas y candados</t>
  </si>
  <si>
    <t>Cerradura 170 ¼ bancaria, 1610 de cadena, 987 de pasador redondo, 396 chapa candado, 370 L-R, pico loro.</t>
  </si>
  <si>
    <t>Cerradura  de perilla.</t>
  </si>
  <si>
    <t>Cerraduras perforadas y cambios de cilindros toda referencia.</t>
  </si>
  <si>
    <t xml:space="preserve">Candados  y corbin grandes  pequeños  </t>
  </si>
  <si>
    <t>Candados  y corbin pequeños</t>
  </si>
  <si>
    <t>Chapas para escritorio o archivador.</t>
  </si>
  <si>
    <t>Para chapas tubulares de archivadores, gavetas y escritorios.</t>
  </si>
  <si>
    <t>Chapas varias de escritorio, archivadores, ordenadores y bibliotecas.</t>
  </si>
  <si>
    <t>Cerraduras tipo bancarias.</t>
  </si>
  <si>
    <t>Cerraduras  de pasador redondo 396 chapa candado.</t>
  </si>
  <si>
    <t>Cerradura  de pasador redondo.</t>
  </si>
  <si>
    <t xml:space="preserve"> Cerradura 864 de pasador cuadrado.</t>
  </si>
  <si>
    <t>Cerraduras sisa y pico loro.</t>
  </si>
  <si>
    <t>Cerradura  pico loro.</t>
  </si>
  <si>
    <t>Cerradura  llave botón pomo de madera.</t>
  </si>
  <si>
    <t>Llave botón pomo metálico.</t>
  </si>
  <si>
    <t>Cerradura  doble llave pomo madera.</t>
  </si>
  <si>
    <t>Cerradura  doble llave pomo metálico.</t>
  </si>
  <si>
    <t>Cerradura  2044, 2045  para escritorio y gavetas</t>
  </si>
  <si>
    <t>Cerradura  pomo madera y aluminio con llave.</t>
  </si>
  <si>
    <t>Cerradura para escritorio</t>
  </si>
  <si>
    <t>Cerradura de ombligo para archivador de madera</t>
  </si>
  <si>
    <t>Cerradura  de resbalón para cantonera eléctrica</t>
  </si>
  <si>
    <t>Arreglo de seguros y mantenimientos de rieles de archivadores</t>
  </si>
  <si>
    <t>Arreglo de puertas de madera caídas(Cambio de Bisagras)</t>
  </si>
  <si>
    <t>Mantenimiento de brazo hidráulico  Ref. 005</t>
  </si>
  <si>
    <t>ELEMENTOS Y MTERIALES DE BUENA CALIDAD Y MARCAS RECONOCIDAS</t>
  </si>
  <si>
    <t>RUBRO: 2012590</t>
  </si>
  <si>
    <t xml:space="preserve">Limpido o blanqueador * 3800cc </t>
  </si>
  <si>
    <t xml:space="preserve">Desinfectante para pisos * 3800 cc </t>
  </si>
  <si>
    <t xml:space="preserve">Detergente en polvo *1000grs </t>
  </si>
  <si>
    <t xml:space="preserve">Cera liquida blanca para pisos * 3800cc </t>
  </si>
  <si>
    <t xml:space="preserve">Limpia vidrios *3000cc </t>
  </si>
  <si>
    <t xml:space="preserve">Gancho para trapero industrial, mango en aluminio </t>
  </si>
  <si>
    <t xml:space="preserve">Escoba en nylon ref. 228, con diametro para barrer de 32 cm. </t>
  </si>
  <si>
    <t xml:space="preserve">Toallas descechables, blancas suplex * 150 unidades. x 24 paquete </t>
  </si>
  <si>
    <t xml:space="preserve">Recogedor plastico </t>
  </si>
  <si>
    <t xml:space="preserve">paños abrasivos de 10*15 cms </t>
  </si>
  <si>
    <t xml:space="preserve">Escoba limpia telarañas </t>
  </si>
  <si>
    <t>Jabon liquido antibacterial para manos * 3000 cc</t>
  </si>
  <si>
    <t xml:space="preserve">Chupa para baño </t>
  </si>
  <si>
    <t xml:space="preserve">Churrusco para baño </t>
  </si>
  <si>
    <t xml:space="preserve">Jabon tocador o para manos  </t>
  </si>
  <si>
    <t xml:space="preserve">Trapero en pavllo * 400 gramos </t>
  </si>
  <si>
    <t xml:space="preserve">Mecha trapero de 400grs </t>
  </si>
  <si>
    <t xml:space="preserve">Papel higienico doble hoja *48 2en1 * 32mts </t>
  </si>
  <si>
    <t xml:space="preserve">Balde plastico 10 lts </t>
  </si>
  <si>
    <t xml:space="preserve">Papelera para baño </t>
  </si>
  <si>
    <t xml:space="preserve">Papel higienico industrial natural * 250mts </t>
  </si>
  <si>
    <t xml:space="preserve">Bayetilla blanca </t>
  </si>
  <si>
    <t xml:space="preserve">Bayetilla roja </t>
  </si>
  <si>
    <t>Bolsa industrial negra c-2.00 * 10 unidades</t>
  </si>
  <si>
    <t>Bolsa grande negra jumbo c-3 * 10 unidades</t>
  </si>
  <si>
    <t xml:space="preserve">Ambintador Spray oficina  *360cc </t>
  </si>
  <si>
    <t xml:space="preserve">Ambientador baño gel  </t>
  </si>
  <si>
    <t xml:space="preserve">Manguera completa 1/2" con pistola * 30 mts </t>
  </si>
  <si>
    <t>Limpiamax * 3800cc</t>
  </si>
  <si>
    <t>Carro escurridor de traperos * 35 litros</t>
  </si>
  <si>
    <t>Aviso O señal preventiva piso mojado</t>
  </si>
  <si>
    <t>Insecticida en aerosol para zancudos y moscas por 360  Raid para zancudos (**)</t>
  </si>
  <si>
    <t xml:space="preserve">Aromatica surtida * 24 cajas </t>
  </si>
  <si>
    <t>Aromatica de Frutos Rojos</t>
  </si>
  <si>
    <t>Aromatica liquida surtida</t>
  </si>
  <si>
    <t xml:space="preserve">Vasos desechables ecologicos para agua de 7 oz* caja * 2000 unidades </t>
  </si>
  <si>
    <t xml:space="preserve">Vasos desechables ecologico para tinto 4 onzas caja * 2000 unidades </t>
  </si>
  <si>
    <t xml:space="preserve">Termo bomba para café, de 1.5 litros </t>
  </si>
  <si>
    <t xml:space="preserve">Cocineta electrica de 2 puestos </t>
  </si>
  <si>
    <t>Mezcladores * 500 unidades</t>
  </si>
  <si>
    <t>Bandejas Plasticas medianas</t>
  </si>
  <si>
    <t xml:space="preserve">Cafetera electrica, jarra de vidrio con capacidad para 10 tintos </t>
  </si>
  <si>
    <t>Termo Imusa * 1 litro</t>
  </si>
  <si>
    <t>Greca café cap. 120 tintos</t>
  </si>
  <si>
    <t>Azucar por libras</t>
  </si>
  <si>
    <t>Aromatica panela</t>
  </si>
  <si>
    <t xml:space="preserve">café tostado y molido * 500 grs tipo 1 </t>
  </si>
  <si>
    <t>GALON</t>
  </si>
  <si>
    <t>KILO</t>
  </si>
  <si>
    <t>PACA</t>
  </si>
  <si>
    <t>METRO</t>
  </si>
  <si>
    <t>ELEMENTOS Y MATERIALES DE CALIDAD Y MARCAS RECONOCIDAS EN EL MERCADO</t>
  </si>
  <si>
    <t>SERVICIOS DE CALIDAD</t>
  </si>
  <si>
    <t>IMPRESOS Y SUSCRIPCIONES ADMINISTRATIVAS</t>
  </si>
  <si>
    <t>SECRETARIA GENERAL, VIVERRECTORIAS Y RECTORIA , DECANATURAS, PROGRAMAS Y OFICINAS</t>
  </si>
  <si>
    <t>RUBRO: 201490</t>
  </si>
  <si>
    <t>ACTIVIDAD</t>
  </si>
  <si>
    <t>FUNCIONAMIENTO, SECRETARIA GENERAL, VIVERRECTORIAS Y RECTORIA , DECANATURAS, PROGRAMAS Y OFICINAS</t>
  </si>
  <si>
    <t>TOTAL</t>
  </si>
  <si>
    <t>SIGLA</t>
  </si>
  <si>
    <t>ACT-OPE-511</t>
  </si>
  <si>
    <t>BIENESTAR SOCIAL - GASTOS VARIOS ADMINISTRATIVOS</t>
  </si>
  <si>
    <t>RUBRO: 201590</t>
  </si>
  <si>
    <t>VICERRECTORIA ADMINISTRATIVA</t>
  </si>
  <si>
    <t>DIVISION DE RECURSOS</t>
  </si>
  <si>
    <t>ACT-OPE-512</t>
  </si>
  <si>
    <t>PORTAL TRIBUTARIO CETA.ORG.CO</t>
  </si>
  <si>
    <t>12 MESES</t>
  </si>
  <si>
    <t>FUCIONAMIENTO VICERRECTORIA ADIMINSTRATIVA</t>
  </si>
  <si>
    <t>FUNCIONAMIENTO DIVISIÓN DE RECURSOS</t>
  </si>
  <si>
    <t>5 MESES</t>
  </si>
  <si>
    <t>ACT-OPE-412</t>
  </si>
  <si>
    <t>ACTIVIDAD FUNCIONAMIENT O - VICERRECTORIAS, DECANATURAS, PROGAMAS, DIVISIONES Y OFICINAS INCLUIDAS LAS SEDES</t>
  </si>
  <si>
    <t>FUCIONAMIENTO DE LA OFICINA DE CENTRO DE TECNOLOGIA Y COMUNICACIONES - CETIC</t>
  </si>
  <si>
    <t>FUCNIONAMIENTO OFICINA JURIDICA</t>
  </si>
  <si>
    <t>FUNCIONAMIENTO OFICINA DE COMUNICACIÓN</t>
  </si>
  <si>
    <t>FUCNIONAMIENTO OFICNAS VARIAS</t>
  </si>
  <si>
    <t>FUCNIOMIENTO FAC, ECONO. ADMI.</t>
  </si>
  <si>
    <t>EN VARILLA CUADRADA DE 1" DIM.</t>
  </si>
  <si>
    <t>EN TUBO METALICO Y MALLA</t>
  </si>
  <si>
    <t>EN TUBOMETALICO Y MADERA PRENSADA LAMINADA</t>
  </si>
  <si>
    <t>EN TELAS DE CALIDAD</t>
  </si>
  <si>
    <t>FUCNIONAMIENTO DE OFICNAS, DECANATURAS, VICERRECTORIA Y RECTORIA</t>
  </si>
  <si>
    <t>RUBRO: 2011290</t>
  </si>
  <si>
    <t xml:space="preserve">   </t>
  </si>
  <si>
    <t>RUBRO: 2011390</t>
  </si>
  <si>
    <t>CAMARAS DE CALIDAD CON PROCESAMIENTO DE ENFOQUE</t>
  </si>
  <si>
    <t>DE CALIDAD Y MARCA RECONOCIDAS</t>
  </si>
  <si>
    <t>PORTATIL Y DE MARCAS RECONOCIDAS</t>
  </si>
  <si>
    <t>DE MARCA Y MARCA RECONOCIDAD</t>
  </si>
  <si>
    <t>TECHO PRESUPUESTAL: 20,700,000</t>
  </si>
  <si>
    <t>TECHO PRESUPUESTAL: $31,050,000</t>
  </si>
  <si>
    <t>TECHO PRESUPUESTAL: $6,210,000</t>
  </si>
  <si>
    <t>TECHO PRESUPUESTAL: $62,100,000</t>
  </si>
  <si>
    <t>VALOR UNITARIO 2017</t>
  </si>
  <si>
    <t>DESCRIPCIÓN</t>
  </si>
  <si>
    <t>VALOR UNITARIO</t>
  </si>
  <si>
    <t>DEPENDENCIA QUE SOLICITA</t>
  </si>
  <si>
    <t>CANTIDAD</t>
  </si>
  <si>
    <t>RUBRO: 2011590</t>
  </si>
  <si>
    <t>TECHO PRESUPUESTAL: 15,365,796</t>
  </si>
  <si>
    <t>RUBRO: 2012190</t>
  </si>
  <si>
    <t>TECHO PRESUPUESTAL: $100,000,000</t>
  </si>
  <si>
    <t>MODO DE CONTRATACIÓN</t>
  </si>
  <si>
    <t>VALOR VIGENCIA 2107</t>
  </si>
  <si>
    <t>DURACION DEL CONTRATO</t>
  </si>
  <si>
    <t>ACT-OPE-454</t>
  </si>
  <si>
    <t>RUBRO: 2012290</t>
  </si>
  <si>
    <t>TECHO PRESUPUESTAL: $40,000,000</t>
  </si>
  <si>
    <t>SERVICIO GENERALES - COORDINACION DE TRANSPORTE</t>
  </si>
  <si>
    <t>GALON, TFRASCO</t>
  </si>
  <si>
    <t>COMBUSTIBLES Y LUBRICANTES DE CALIDAD</t>
  </si>
  <si>
    <t>ACT-OPE-455</t>
  </si>
  <si>
    <t>TECHO PRSUPUESAL : $82.000.000</t>
  </si>
  <si>
    <t>RUBRO: 2012390</t>
  </si>
  <si>
    <t>RUBRO:2012490</t>
  </si>
  <si>
    <t>TECHO PRESUPUESTAL= $60,000,000</t>
  </si>
  <si>
    <t xml:space="preserve">10 MESES </t>
  </si>
  <si>
    <t>ACT-OPE-452</t>
  </si>
  <si>
    <t>TECHO PRESUPUESTAL: $39,330,000</t>
  </si>
  <si>
    <t>DOTACION PARA EMPLEADOS PUBLICOS Y TRABAJADORES OFICIALES, CONSISTENTE EN UNA CAMISA, PATALON Y UN PAR DE ZAPATSPO PARA HOMBRS, PARA DAMAS: BLUSA, FALDA Y PAR DE ZAPATOS</t>
  </si>
  <si>
    <t>VALOR ESTIMADO DE LA VIGENCIA 2017</t>
  </si>
  <si>
    <t>OFICINA DE RECURSOS</t>
  </si>
  <si>
    <t>ACT-OPE.442-7</t>
  </si>
  <si>
    <t>MATERIALES DE ALTA CALIDAD Y MARCAS RECONOCIDAS</t>
  </si>
  <si>
    <t>TECHO PRESUPUESTAL: $134,550,000</t>
  </si>
  <si>
    <t>RUBRO: 2012690</t>
  </si>
  <si>
    <t>CCT-OPE-412-5</t>
  </si>
  <si>
    <t>RUBRO: 2012790</t>
  </si>
  <si>
    <t>TECHO PRESUPUESAL: $100,000,000</t>
  </si>
  <si>
    <t>TECHO PRESUPUESAL: $77,935,500</t>
  </si>
  <si>
    <t>REPUESTOS PARA LOS VEHICULOS DE LA UNIVERSIDAD SURCOLOMBIANA</t>
  </si>
  <si>
    <t>SERVICIO GENRALES - COORDINACION DE TRANSPORTE</t>
  </si>
  <si>
    <t>REPUESTOS DE CALIDAD</t>
  </si>
  <si>
    <t>RUBRO: 2021090</t>
  </si>
  <si>
    <t>TECHO PRESUPUESAL: $87,806,514</t>
  </si>
  <si>
    <t xml:space="preserve">OTROS GASTOS POR SDRVICIOS </t>
  </si>
  <si>
    <t>RUBRO: 2021190</t>
  </si>
  <si>
    <t>TECHO PRESUPUESAL: $1,100,000,000</t>
  </si>
  <si>
    <t>GASTOS DESPLAZAMIENTO A LAAS SEDES DE LA UNIVERSIDAD SURCOLOMBIANA</t>
  </si>
  <si>
    <t>RUBRO: 202390</t>
  </si>
  <si>
    <t>TECHO PRESUPUESAL: $15,000,000</t>
  </si>
  <si>
    <t>ARRENDAMIENTOS DE INMUEBLES PARA FUNCIONAMIENTO DE OFICINAS</t>
  </si>
  <si>
    <t>RUBRO: 202690</t>
  </si>
  <si>
    <t>TECHO PRESUPUESAL: $36,225,000</t>
  </si>
  <si>
    <t>CAJA MENOR</t>
  </si>
  <si>
    <t>SEVICIOS DE CALIDAD</t>
  </si>
  <si>
    <t>SERVICIO DE CALIDAD</t>
  </si>
  <si>
    <t>PARA COMPRAS MENORES</t>
  </si>
  <si>
    <t>RUBRO: 202790</t>
  </si>
  <si>
    <t>TECHO PRESUPUESAL: $350,000,000</t>
  </si>
  <si>
    <t>12MESES</t>
  </si>
  <si>
    <t>RUBRO: 202890</t>
  </si>
  <si>
    <t>GASTOS DE BIENESTAR PARA LA COMUNIDAD UNIVERSITARIA</t>
  </si>
  <si>
    <t>SEGUROS - VARIOS</t>
  </si>
  <si>
    <t>TECHO PRESUPUESAL: $46,575,000</t>
  </si>
  <si>
    <t>TECHO PRESUPUESAL: $150,000,000</t>
  </si>
  <si>
    <t>SERVICIOS GENERALES COORDIANCOÓN DE TRASNPORTE</t>
  </si>
  <si>
    <t>SUMINISTRO DE REPUESTOS DE CALIDAD Y MARCAS RECONOCIDAS</t>
  </si>
  <si>
    <t>SUMINISTRO DE ABONOS, VENENOS Y FUNGICIDAS, PARA EL CAMPORDE FUTBOL, AREAS ALEDAÑAS DE LA SEDE CENTRAL INCLUIDA LAS SEDES DE PTILITO, GARZÓN Y LA PLATA</t>
  </si>
  <si>
    <t>DIRECTA O ABREVIADA</t>
  </si>
  <si>
    <t>MATERIALES DE CALIDAD Y MARCAS RECONOCIDAS EN EL MERCADO</t>
  </si>
  <si>
    <t>SERVICIO DE MANTENIMIENTO DE CORTINAS Y PERSIANAS</t>
  </si>
  <si>
    <t>SUMINISTRO E INSTALACIONES DE DIVISIONES MODULARES Y VIRIOS PARA LAS ESTRUTURAS FISICAS SE LA USCO</t>
  </si>
  <si>
    <t>SERVICIO DE LAVADO Y PLANCAH DO DE PREDAS DE LAVORATORIOS FACULTAD DE SALUD, COORDINACION DE DEPORTE Y BIENESTRA UNIVERSITARIO</t>
  </si>
  <si>
    <t>SERVICIO DE FUMIGACIÓN DE LAS SEDES DE LA UNIVERSIDAD SURCOLOMBIANA, INCLUIDAS LAS SEDES DE PITALITO, GARZÓN Y L APLATA</t>
  </si>
  <si>
    <t>SUMINISTRSO Y REPUESTOS Y MANTENIMIENTO PARA AIRES ACONDICIONADOS, EQUIPOS REFRIGERANTES Y DISPENSDORES DE AGUA</t>
  </si>
  <si>
    <t>SUMINISTRSO DE REPUESTO, MENTINIMIETO CORRECTIVO Y PREVENTIVO DE PLANTAS TELLEFONICAS, LINEAS TELEFONICAS, DE LAS SEDES DE LA USCO, INLUIDAS LAS SEDES DE PITALITO, GARZÓN Y LA PLATA</t>
  </si>
  <si>
    <t>SERVICIOS GENERALES Y DIRECCÓN DE SEDES</t>
  </si>
  <si>
    <t>SERVICIO DE CALIDAD Y SIMINISTRO DE REPUESTO DEMARCAS RECONOCIDAS EN EL MERCADO</t>
  </si>
  <si>
    <t>SERVICIO DE LAVADOS Y DESINFECCIÓN DE TANQUES DE TODAS LA SEDES DE LA USCO INCLUIDA LAS SEDES DE PITALITO, GARZÓN Y LA PLATA</t>
  </si>
  <si>
    <t xml:space="preserve">SERVICIO DE CALIDAD  </t>
  </si>
  <si>
    <t xml:space="preserve">SERVICIO Y REPUESTOS DE  CALIDAD  </t>
  </si>
  <si>
    <t>MANTENIMIENTO PREVENTIVO Y CORRECTIVO, DE ARCHIOVADORES RODANTES DE LA UNIVERSIDAD SURCOLOBIANA</t>
  </si>
  <si>
    <t>MANTENIMIENTO PREVENTIVO Y CORRECTIVO DE MAQUINARIA AGRICOLA</t>
  </si>
  <si>
    <t xml:space="preserve">MANTENIMIENTO PREVENTIVO Y CORRECTIVO, SUMINISTRO DE REPUESTO PARA LOS COMPRESORES, MOTORES ELECTRICOS  Y PLANTAS ELECTRICAS DE LAS SEDES DE LA USCO, INCLUIDAD LAS SEDES DE PITALITO, GARZÓN Y LA PLATA </t>
  </si>
  <si>
    <t>OTROS MANTENIMIENTOS DE LA USCO</t>
  </si>
  <si>
    <t>SERVICIOS GENERALES Y DIRECCÓN DE SEDES Y VICERRECTORIA ADMINISTRATIVA</t>
  </si>
  <si>
    <t>SERVICIOS GENERALES Y VICERRECTORIA ADMINISTRATIVA</t>
  </si>
  <si>
    <t>LICITACIÓN PÚBLICA</t>
  </si>
  <si>
    <t>SERVICIO DE CALIDAD, CON PERSONAL IDONEO Y CAPACITADO</t>
  </si>
  <si>
    <t>RUBRO: 2021790</t>
  </si>
  <si>
    <t>TECHO PRESUPUESAL: $3,027,361,862</t>
  </si>
  <si>
    <t>RUBRO: 2022190</t>
  </si>
  <si>
    <t>TECHO PRESUPUESAL: $1,600,000,000</t>
  </si>
  <si>
    <t>SERVICIOS PUBLICOS PARA LAS SEDES DE LA USCO, INCLUIDAD LAS SEDES DE PITALITO, GARZÓN Y LA PLATA</t>
  </si>
  <si>
    <t>RUBRO: 2022290</t>
  </si>
  <si>
    <t>TECHO PRESUPUESAL: $550,000,000</t>
  </si>
  <si>
    <t>SERVICIOS DE INTRNET PARA TODAS LAS SEDES DE LA USCO, INCLUIDAD LAS SEDES DE GARZÓN PITALITO Y LA PLATA</t>
  </si>
  <si>
    <t>CETIC Y VICERRECTORIA ADMINISTRATIVA</t>
  </si>
  <si>
    <t>RUBRO: 2024190</t>
  </si>
  <si>
    <t>VIATICOS PARA EL DESPLAZAMIENTO DE DOCENTES, EMPLEADOS PUBLICOS Y TRABAJADORES OFICIALES</t>
  </si>
  <si>
    <t>GASTOS DE VIAJE  PARA EL DESPLAZAMIENTO DE DOCENTES, EMPLEADOS PUBLICOS Y TRABAJADORES OFICIALES</t>
  </si>
  <si>
    <t>RUBRO: 2024290</t>
  </si>
  <si>
    <t>TECHO PRESUPUESAL: $70,000,000</t>
  </si>
  <si>
    <t>RUBRO: 2025190</t>
  </si>
  <si>
    <t>RUBRO: 2025290</t>
  </si>
  <si>
    <t>TECHO PRESUPUESAL: $40,000,000</t>
  </si>
  <si>
    <t>SERVICIO DE FOTOCOPIA PARA LAS OFICINAS DIFERENTES SEDE DE LA UNIVERSIDAD, INCLUIDAS LAS SEDES DE GARZÓN, PILATIO Y L APLATA</t>
  </si>
  <si>
    <t>TECHO PRESUPUESTAL:$14,490,000</t>
  </si>
  <si>
    <t>TECHO PRESUPUESTAL $6,210,000</t>
  </si>
  <si>
    <t>RUBRO: 2011190</t>
  </si>
  <si>
    <t>DE EXCELENTA CALIDAD Y</t>
  </si>
  <si>
    <t>DE EXCELENTE CALIDAD Y MARCA RECONOCIDA</t>
  </si>
  <si>
    <t>RUBRO:2011390</t>
  </si>
  <si>
    <t xml:space="preserve">SUMINISTRO DE COMBUTIBLES Y LUBRICANTES, REFRIGERANTES, LIQUIDOS ETC. </t>
  </si>
  <si>
    <t>MANTENIMIETNO DE INFRAESTRUCTURA, CAMPOS DEPORTIVOS Y EQUIPOS Y MAQUINARIA</t>
  </si>
  <si>
    <t>SERVICIO GENERALES VICERRECTORIA ADMINISTRATIVA</t>
  </si>
  <si>
    <t xml:space="preserve">PROPIOS </t>
  </si>
  <si>
    <t>RUBRO: 2013190</t>
  </si>
  <si>
    <t>TECHO PRESUPUESAL: $60,000,000</t>
  </si>
  <si>
    <t>ADUISICION Y SUMINISTRO DE REPUESTOS PARA  VEHICULOS Y MOTOS DE LA UNIVERSIDAD SURCOLOMBIANA</t>
  </si>
  <si>
    <t>RUBRO: 2021390</t>
  </si>
  <si>
    <t>SERVICIO DE VIGILANCIA PRIVADAPARA TODAS LAS SEDE DE LA USCO, INCLUIDAS LAS SEDES DE PITALITO, GARZÓN Y LA PLATA</t>
  </si>
  <si>
    <t>SERVICIO DE ASEO INTEGRAL PARA TODAS LAS SEDES INCLUIDAS LAS SEDES DE PITALITO, GARZON Y LA PLATA</t>
  </si>
  <si>
    <t>VICERRECTORIA ADMINISTRATIVA VICERRECTORIA ACADEMECA, RECTORIA , VICERRECTORIA DE INVESTIGACIONES</t>
  </si>
  <si>
    <t>IMPRESOS Y PUBLICACIONES DE LA USCO</t>
  </si>
  <si>
    <t>RUBRO: 301590</t>
  </si>
  <si>
    <t>RUBRO:20390</t>
  </si>
  <si>
    <t>IMPUESTOS VARISO SEGÚN LEY</t>
  </si>
  <si>
    <t>SEGÚN SOLICITUD</t>
  </si>
  <si>
    <t>TECHO PRESUPUESAL: $180,000,000</t>
  </si>
  <si>
    <t>ACTIVIDADES VARIAS DE BIENESTAR UNIVERSITARIO</t>
  </si>
  <si>
    <t>VICERRECTORIA ADMINISTRATIVA - BIENESTAR UNIVERSITARIO</t>
  </si>
  <si>
    <t>GASTOS VARIOS</t>
  </si>
  <si>
    <t>VICERRECTORIA ADMINISTRATIVA -DIVISIOIN DE RECURSOS Y SERVICIOS GENERALES</t>
  </si>
  <si>
    <t>TECHO PRESUPUESAL: $140,000,000</t>
  </si>
  <si>
    <t>RUBRO: 3012290</t>
  </si>
  <si>
    <t>ADQUISICION DE LEMENTOS DE PROCTECCION PERSONAL Y OTROS</t>
  </si>
  <si>
    <t xml:space="preserve">VICERRECTORIA ADMINISTRATIVA -DIVISIÓN DE BIENESTAR UNIVESITARIO </t>
  </si>
  <si>
    <t>RUBRO: 301490</t>
  </si>
  <si>
    <t>RUBRO: 301990</t>
  </si>
  <si>
    <t>ACTIVIDADES CON LA COMUNIDAD UNIVERSITARIA ESTUDIANTIL</t>
  </si>
  <si>
    <t>UNIVERSIDAD SURCOLOMBIANA, PLAN DE COMPRAS 2017, IMPRESOS Y SUSCRIPCIONES ADMINISTRATIVAS</t>
  </si>
  <si>
    <t>UNIVERSIDAD SURCOLOMBIANA PLAN DE COMPRAS 2017, EQUIPOS Y PROCESAMIENTO DE DATOS</t>
  </si>
  <si>
    <t xml:space="preserve">UNIVERSIDAD SURCOLOMBIANA PLAN DE COMPRAS 2017, MUEBLES Y ENSERES </t>
  </si>
  <si>
    <t>, UN IVERSIDAD SURCOLOMBIANA, PLAN DE COMPRAS 2017, EQUIPOS  Y ACCESORIOS DE COMUNICACIÓN</t>
  </si>
  <si>
    <t>UNIVERSIDAD SURCOLOMBIANA PLAN DE COMPRAS 2017, EQUIPOS Y MAQUINAS DE OFICINA</t>
  </si>
  <si>
    <t>UNIVERSIDAD SURCOLOMBIANA, PLAN DE COMPRAS 2017, SISTEMA DE SEGURIDAD</t>
  </si>
  <si>
    <t>UNIVERSIDAD SURCOLOMBIANA, PLAN DE COMPRAS VIGENCIA 2017, MATERIALES ELECTRICOS</t>
  </si>
  <si>
    <t>UNIVERSIDAD SURCOLOMBIANA, PLAN DE COMPRAS VIGENCIA 2017,COMBUSTIBLES</t>
  </si>
  <si>
    <t>UNIVERSIDAD SURCOLOMBIANA, PLAN DE COMPRAS VIGENCIA 2017,    PAPELARIA GENERAL Y ELEMENSTOS DE OFICINA</t>
  </si>
  <si>
    <t>UNIVERSIDAD SURCOLOMBIANA, PLAN DE COMPRAS VIGENCIA 2017, CINTAS, CARTUCHOS, TONER Y RECARGAS</t>
  </si>
  <si>
    <t>UNIVERSIDAD SURCOLOMBIANA, PLAN DE COMPRAS 2017, ELEMENTOS DE ASEO</t>
  </si>
  <si>
    <t>UNIVERSIDAD SURCOLOMBIANA, PLAN DE COMPRAS VIGENCIA 2017, DOTACIÓN ADMINISTRATIVA</t>
  </si>
  <si>
    <t>UNIVERSIDAD SURCOLOMBIANA, PLAN DE COMPRAS VIGENCIA 2017, HERRAMIENTAS Y ACCESORIOS</t>
  </si>
  <si>
    <t>UNIVERSIDAD SURCOLOMBIANA, PLAN DE COMPRAS VIGENCIA 2017,OTROS GASTOS POR SERVICIOS</t>
  </si>
  <si>
    <t>UNIVERSIDAD SURCOLOMBIANA, PLAN DE COMPRAS VIGENCIA 2017, SEGUROS</t>
  </si>
  <si>
    <t>UNIVERSIDAD SURCOLOMBIANA, PLAN DE COMPRAS VIGENCIA 2017, BIENESTAR SOCIAL</t>
  </si>
  <si>
    <t>UNIVERSIDAD SURCOLOMBIANA, PLAN DE COMPRAS VIGENCIA 2017,VEHICULOS</t>
  </si>
  <si>
    <t>UNIVERSIDAD SURCOLOMBIANA, PLAN DE COMPRAS VIGENCIA 2017,GASTOS DESPLAZAMIENTO DE LAS SEDES</t>
  </si>
  <si>
    <t>UNIVERSIDAD SURCOLOMBIANA, PLAN DE COMPRAS VIGENCIA 2017, OTROS MANTENIMIENTOS</t>
  </si>
  <si>
    <t>UNIVERSIDAD SURCOLOMBIANA, PLAN DE COMPRAS VIGENCIA 2017, GASTOS DE VIAJE</t>
  </si>
  <si>
    <t>UNIVERSIDAD SURCOLOMBIANAPLAN DE COMPRAS VIGENCIA 2017, PÚBLICACIONES</t>
  </si>
  <si>
    <t>UNIVERSIDAD SURCOLOMBIANA,PLAN DE COMPRAS VIGENCIA 2017, FOTOCOPIAS</t>
  </si>
  <si>
    <t>UNIVERSIDAD SURCOLOMBIANAPLAN DE COMPRAS VIGENCIA 2017, IMPRESOS</t>
  </si>
  <si>
    <t>UNIVERSIDAD SURCOLOMBIANA, PLAN DE COMPRAS VIGENCIA 2017, IMPUESTOS TASAS Y MULTAS</t>
  </si>
  <si>
    <t>UNIVESIDAD SURCOLOMBIANA,MPLAN DE COMPRAS VIGENCIA 2017, EVENTOS ACTIVIDADES ESTUDIANTILES</t>
  </si>
  <si>
    <t>UNIVERSIDAD SUCOLOMBIANA, PLAN DE COMPRAS VIGENCIA 2017, FONDO BIENESTAR SOCIAL</t>
  </si>
  <si>
    <t>UNIVERSIDAD SURCOLOMBIANA, PLAN DE COMPRAS VIGENCIA 2017,  OTROS GASTOS</t>
  </si>
  <si>
    <t>UNIVERSIDAD SURCOLOMBIANA, PLAN DE COMPRAS VIGENCIA 2017, SALUD OCUPACIONAL</t>
  </si>
  <si>
    <t>UNIVERSIDAD SURCOLOMBIANA, PLAN DE COMPRAS VIGENCIA 2017, REPUESTOS VARIOS</t>
  </si>
  <si>
    <t>UNIVERSIDAD SURCOLOMBIANA, PLAN DE COMPRAS VIGENCIA 2017, ARRENDAMIENTOS</t>
  </si>
  <si>
    <t>UNIVERSIDAD SURCOLOMBIANA, PLAN DE COMPRAS VIGENCIA 2017, CONTRATO DE CELADURIA Y ASEADORAS</t>
  </si>
  <si>
    <t>UNIVERSIDAD SURCOLOMBIANA, PLAN DE COMPRAS VIGENCIA 2017, SEDES</t>
  </si>
  <si>
    <t>UNIVERSIDAD SURCOLOMBIANA, PLAN DE COMPRAS VIGENCIA 2017, INTERNET</t>
  </si>
  <si>
    <t>UNIVERSIDAD SURCOLOMBIANA, PLAN DE COMPRAS VIGENCIA 2017, VIATICOS</t>
  </si>
  <si>
    <t>CONTRUCCIONES, ADECUACIONES, Y MANTENIMIENTO SEDES USCO</t>
  </si>
  <si>
    <t>PLANEACIÓN Y VICERRECTORIA ADMINISTRATIVA, VICERRECTORIA DE INVETIGACIÓN Y ACADEMICA</t>
  </si>
  <si>
    <t xml:space="preserve">LICITACIÓN PUBLICA </t>
  </si>
  <si>
    <t xml:space="preserve">CAJA MENOR </t>
  </si>
  <si>
    <t>FUNCIONAMIENTO GRANJA EXPERIMENTAL</t>
  </si>
  <si>
    <t>RUBRO: 2013290</t>
  </si>
  <si>
    <t>OFICINAS VARIAS DE LA UNIVESIDAD SURCOLOMBIANA</t>
  </si>
  <si>
    <t>OFICINAS VARIAS DE LA UNIVERSIDAD SURCOLOMBIANA</t>
  </si>
  <si>
    <t>VARIAS OFICINAS DE LA UNIVERSIDAD SURCOLOMBIAN</t>
  </si>
  <si>
    <t>VARIAS OFICINAS DE LA UNIVERSIDAD SURCOLOMBIANA</t>
  </si>
  <si>
    <t>UNIVERSIDAD SURCOLOMBIANA, PLAN DE COMPRAS VIGENCIA 2017, MANTENIMIENTO GENERAL</t>
  </si>
  <si>
    <t>UNIVERSIDAD SURCOLOMBIANA, PLAN DE COMPRAS VIGENCIA 2017, COMUNICACIÓN Y TRANSPORTE</t>
  </si>
  <si>
    <t>RUBRO: 2025490</t>
  </si>
  <si>
    <t>ITEM</t>
  </si>
  <si>
    <t>DETALLE</t>
  </si>
  <si>
    <t>UNID.</t>
  </si>
  <si>
    <t>VALOT TOTAL</t>
  </si>
  <si>
    <t>FUENTES DE LOS ECURSOS</t>
  </si>
  <si>
    <t>UNIVESIDAD SURCOLOMBIANA,PLAN DE COMPRAS VIGENCIA 2017, GASTOS DE INVERSIÓN, CONSTRUCCIÓN ADECUACIÓN Y MANTENIMIENO DE SEDES</t>
  </si>
  <si>
    <t>TECHO PRESUPUESAL: $231,441,728</t>
  </si>
  <si>
    <t>TECHO PRESUPUESAL: $1,733,311,301</t>
  </si>
  <si>
    <t>UNIVESIDAD SURCOLOMBIANA,PLAN DE COMPRAS VIGENCIA 2017, GASTOS DE INVERSIÓN, AQUISICIÓN MATERIALES Y EQUIP. EDUCATIVOS SEDES USCO</t>
  </si>
  <si>
    <t>UNIVESIDAD SURCOLOMBIANA, PLAN DE COMPRAS VIGENCIA 2017, GASTOS DE COMERCIALIACIÓN ( INSUMOS, JORNALES, MANTENIMIENTO Y COMBUSTIBLES)</t>
  </si>
  <si>
    <t>COMPRAS DE INSUMOS, REPUESTOS  MAQUINARIA AGRICOLA, LUBRICANTES Y COMBUSIBLE</t>
  </si>
  <si>
    <t>FACUTAD DE INGENIERIA AGRICOLA COORDINACION GRANJA</t>
  </si>
  <si>
    <t>RUBRO: 40190</t>
  </si>
  <si>
    <t>TECHO PRESUPUESAL: 244,000,000</t>
  </si>
  <si>
    <t>,</t>
  </si>
  <si>
    <t>COMUNICACIÓN Y TRANSPORTE DE ENCOMIENDAS Y CORESPONDENCIA</t>
  </si>
  <si>
    <t>UNIVERSIDAD SURCOLOMBIANA, PLAN DE COMPRAS VIGENCIA 2017, PRACTICAS ACADEMICAS</t>
  </si>
  <si>
    <t>RUBRO: 30290</t>
  </si>
  <si>
    <t>TECHO PRESUPUESAL: $480,000,000</t>
  </si>
  <si>
    <t>PRACTICAS ESTUDIANTELES  DE LOS PROGRAMAS ACADEMICAO INCLUIDAS LOS PROGRAMAS DE LAS SEDES DE GARZÓN, PITALITO Y LA PLATA</t>
  </si>
  <si>
    <t>VICERRECTORIA ADMINISTRATIVA , VICERRECTORIA ACADEMICA Y SERVICIOS GENERALES</t>
  </si>
  <si>
    <t>UNIVERSIDAD SURCOLOMBIANA, PLAN DE COMPRAS VIGENCIA 2017, SENTANCIAS Y CONCILIACIONES</t>
  </si>
  <si>
    <t>RUBRO: 30390</t>
  </si>
  <si>
    <t>TECHO PRESUPUESAL: $300,000,000</t>
  </si>
  <si>
    <t>SENTENCIAS Y CONCILIACIONES</t>
  </si>
  <si>
    <t>VICERRECTORIA ADMINISTRATIVA , SECRETARIA GENERAL</t>
  </si>
  <si>
    <t xml:space="preserve">VICERRECTORIA ADMINISTRATIVA </t>
  </si>
  <si>
    <t>RUBRO: 3041290</t>
  </si>
  <si>
    <t>TECHO PRESUPUESAL: $30,000,000</t>
  </si>
  <si>
    <t>UNIVERSIDAD SURCOLOMBIANA, PLAN DE COMPRAS VIGENCIA 2017, CUOTAS DE AUDITAJE</t>
  </si>
  <si>
    <t>TECHO PRESUPUESAL: $99,443,412</t>
  </si>
  <si>
    <t>RUBRO: 304210</t>
  </si>
  <si>
    <t>RUBRO: 304390</t>
  </si>
  <si>
    <t>UNIVERSIDAD SURCOLOMBIANA, PLAN DE COMPRAS VIGENCIA 2017, CUOTAS DE ASOCIACIÓN</t>
  </si>
  <si>
    <t>TECHO PRESUPUESAL: $110,000,000</t>
  </si>
  <si>
    <t>TECHO PRESUPUESAL: $35,000,000</t>
  </si>
  <si>
    <t>RUBRO: 304590</t>
  </si>
  <si>
    <t>CUOTAS DE ASOCIACIONES</t>
  </si>
  <si>
    <t>CUOTAS DE AUDITAJE</t>
  </si>
  <si>
    <t>CUOTAS D ADMINISTRACIÓN</t>
  </si>
  <si>
    <t>UNIVERSIDAD SURCOLOMBIANA, PLAN DE COMPRAS VIGENCIA 2017, TRANSFERENCIAS PREVISION SOCIAL</t>
  </si>
  <si>
    <t>TRANSFERENCIAS DE PREVISIÓN</t>
  </si>
  <si>
    <t>UNIVERSIDAD SURCOLOMBIANA, PLAN DE COMPRAS VIGENCIA 2017, CUOTAS DE ADMINISTRACIÓN</t>
  </si>
  <si>
    <t>UNIVERSIDAD SURCOLOMBIANA, PLAN DE COMPRAS VIGENCIA 2017, CURSOS VACACIONALES</t>
  </si>
  <si>
    <t>CURSOS VACACIONALES</t>
  </si>
  <si>
    <t>VICERRECTORIA ADMINISTRATIVA - DECANATURAS</t>
  </si>
  <si>
    <t>RUBRO: 304790</t>
  </si>
  <si>
    <t>TECHO PRESUPUESAL: $134,323,200</t>
  </si>
  <si>
    <t>RUBRO: 304890</t>
  </si>
  <si>
    <t>TECHO PRESUPUESAL: $159,034,520</t>
  </si>
  <si>
    <t xml:space="preserve">RUBRO: 111 </t>
  </si>
  <si>
    <t xml:space="preserve">RUBRO: 211 </t>
  </si>
  <si>
    <t>UNIVESIDAD SURCOLOMBIANA,PLAN DE COMPRAS VIGENCIA 2017, FORTALECIMIENTO BIENESTAR UNIVERSITARIO</t>
  </si>
  <si>
    <t>RUBRO: 3107052</t>
  </si>
  <si>
    <t>TECHO PRESUPUESAL: $2,643,519,035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</si>
</sst>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 #,##0.00_);_(&quot;$&quot;\ * \(#,##0.00\);_(&quot;$&quot;\ * &quot;-&quot;??_);_(@_)"/>
    <numFmt numFmtId="43" formatCode="_(* #,##0.00_);_(* \(#,##0.00\);_(* &quot;-&quot;??_);_(@_)"/>
    <numFmt numFmtId="164" formatCode="_(* #,##0_);_(* \(#,##0\);_(* &quot;-&quot;??_);_(@_)"/>
    <numFmt numFmtId="165" formatCode="&quot;$&quot;#,##0;[Red]\-&quot;$&quot;#,##0"/>
  </numFmts>
  <fonts count="31" x14ac:knownFonts="1">
    <font>
      <sz val="11"/>
      <color theme="1"/>
      <name val="Calibri"/>
      <family val="2"/>
      <scheme val="minor"/>
    </font>
    <font>
      <b/>
      <sz val="11"/>
      <color theme="1"/>
      <name val="Calibri"/>
      <family val="2"/>
      <scheme val="minor"/>
    </font>
    <font>
      <sz val="8"/>
      <color theme="1"/>
      <name val="Calibri"/>
      <family val="2"/>
      <scheme val="minor"/>
    </font>
    <font>
      <sz val="8"/>
      <name val="Calibri"/>
      <family val="2"/>
    </font>
    <font>
      <sz val="8"/>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8"/>
      <color indexed="8"/>
      <name val="Calibri"/>
      <family val="2"/>
    </font>
    <font>
      <sz val="8"/>
      <color rgb="FFFF0000"/>
      <name val="Calibri"/>
      <family val="2"/>
      <scheme val="minor"/>
    </font>
    <font>
      <sz val="8"/>
      <color rgb="FF000000"/>
      <name val="Calibri"/>
      <family val="2"/>
      <scheme val="minor"/>
    </font>
    <font>
      <sz val="10"/>
      <name val="Arial"/>
      <family val="2"/>
    </font>
    <font>
      <sz val="9"/>
      <color rgb="FF000000"/>
      <name val="Arial"/>
      <family val="2"/>
    </font>
    <font>
      <sz val="9"/>
      <color theme="1"/>
      <name val="Calibri"/>
      <family val="2"/>
      <scheme val="minor"/>
    </font>
    <font>
      <b/>
      <sz val="9"/>
      <color rgb="FF000000"/>
      <name val="Arial"/>
      <family val="2"/>
    </font>
    <font>
      <sz val="9"/>
      <color rgb="FF000000"/>
      <name val="Calibri"/>
      <family val="2"/>
      <scheme val="minor"/>
    </font>
    <font>
      <b/>
      <sz val="9"/>
      <color rgb="FF000000"/>
      <name val="Calibri"/>
      <family val="2"/>
      <scheme val="minor"/>
    </font>
    <font>
      <b/>
      <sz val="12"/>
      <name val="Calibri"/>
      <family val="2"/>
      <scheme val="minor"/>
    </font>
    <font>
      <sz val="10"/>
      <color rgb="FF000000"/>
      <name val="Arial Narrow"/>
      <family val="2"/>
    </font>
    <font>
      <sz val="11"/>
      <color rgb="FF000000"/>
      <name val="Arial Narrow"/>
      <family val="2"/>
    </font>
    <font>
      <sz val="8"/>
      <color theme="1"/>
      <name val="Arial"/>
      <family val="2"/>
    </font>
    <font>
      <sz val="8"/>
      <color rgb="FF000000"/>
      <name val="Arial"/>
      <family val="2"/>
    </font>
    <font>
      <b/>
      <sz val="9"/>
      <color theme="1"/>
      <name val="Calibri"/>
      <family val="2"/>
      <scheme val="minor"/>
    </font>
    <font>
      <sz val="8"/>
      <color rgb="FF000000"/>
      <name val="Calibri"/>
      <family val="2"/>
    </font>
    <font>
      <sz val="9"/>
      <color rgb="FF000000"/>
      <name val="Calibri"/>
      <family val="2"/>
    </font>
    <font>
      <b/>
      <sz val="9"/>
      <name val="Calibri"/>
      <family val="2"/>
      <scheme val="minor"/>
    </font>
    <font>
      <sz val="10"/>
      <color rgb="FF000000"/>
      <name val="Calibri"/>
      <family val="2"/>
    </font>
    <font>
      <sz val="9"/>
      <color rgb="FF000000"/>
      <name val="Calibri"/>
      <family val="2"/>
      <charset val="204"/>
    </font>
    <font>
      <sz val="9"/>
      <name val="Calibri"/>
      <family val="2"/>
    </font>
    <font>
      <sz val="12"/>
      <color theme="0"/>
      <name val="Calibri"/>
      <family val="2"/>
      <scheme val="minor"/>
    </font>
    <font>
      <b/>
      <sz val="8"/>
      <color theme="1"/>
      <name val="Calibri"/>
      <family val="2"/>
      <scheme val="minor"/>
    </font>
  </fonts>
  <fills count="8">
    <fill>
      <patternFill patternType="none"/>
    </fill>
    <fill>
      <patternFill patternType="gray125"/>
    </fill>
    <fill>
      <patternFill patternType="solid">
        <fgColor rgb="FFFF0000"/>
        <bgColor indexed="64"/>
      </patternFill>
    </fill>
    <fill>
      <patternFill patternType="solid">
        <fgColor theme="6"/>
        <bgColor indexed="64"/>
      </patternFill>
    </fill>
    <fill>
      <patternFill patternType="solid">
        <fgColor theme="0"/>
        <bgColor indexed="31"/>
      </patternFill>
    </fill>
    <fill>
      <patternFill patternType="solid">
        <fgColor rgb="FFFFFFFF"/>
        <bgColor indexed="64"/>
      </patternFill>
    </fill>
    <fill>
      <patternFill patternType="solid">
        <fgColor theme="0"/>
        <bgColor indexed="64"/>
      </patternFill>
    </fill>
    <fill>
      <patternFill patternType="solid">
        <fgColor theme="8" tint="0.79998168889431442"/>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top style="thin">
        <color indexed="64"/>
      </top>
      <bottom/>
      <diagonal/>
    </border>
    <border>
      <left style="thin">
        <color indexed="64"/>
      </left>
      <right style="thin">
        <color indexed="64"/>
      </right>
      <top/>
      <bottom/>
      <diagonal/>
    </border>
    <border>
      <left style="thin">
        <color indexed="8"/>
      </left>
      <right style="thin">
        <color indexed="8"/>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43" fontId="7" fillId="0" borderId="0" applyFont="0" applyFill="0" applyBorder="0" applyAlignment="0" applyProtection="0"/>
    <xf numFmtId="0" fontId="11" fillId="0" borderId="0"/>
    <xf numFmtId="44" fontId="7" fillId="0" borderId="0" applyFont="0" applyFill="0" applyBorder="0" applyAlignment="0" applyProtection="0"/>
  </cellStyleXfs>
  <cellXfs count="245">
    <xf numFmtId="0" fontId="0" fillId="0" borderId="0" xfId="0"/>
    <xf numFmtId="0" fontId="0" fillId="0" borderId="4" xfId="0" applyBorder="1"/>
    <xf numFmtId="0" fontId="0" fillId="0" borderId="4" xfId="0" applyBorder="1" applyAlignment="1">
      <alignment vertical="top"/>
    </xf>
    <xf numFmtId="0" fontId="2" fillId="0" borderId="4" xfId="0" applyFont="1" applyBorder="1" applyAlignment="1">
      <alignment horizontal="justify" vertical="justify"/>
    </xf>
    <xf numFmtId="0" fontId="2" fillId="0" borderId="4" xfId="0" applyFont="1" applyBorder="1" applyAlignment="1">
      <alignment vertical="center"/>
    </xf>
    <xf numFmtId="0" fontId="2" fillId="0" borderId="4" xfId="0" applyFont="1" applyBorder="1"/>
    <xf numFmtId="0" fontId="0" fillId="0" borderId="4" xfId="0" applyBorder="1" applyAlignment="1">
      <alignment horizontal="justify" vertical="top"/>
    </xf>
    <xf numFmtId="0" fontId="2" fillId="0" borderId="4" xfId="0" applyFont="1" applyBorder="1" applyAlignment="1">
      <alignment horizontal="justify" vertical="top"/>
    </xf>
    <xf numFmtId="0" fontId="2" fillId="0" borderId="4" xfId="0" applyFont="1" applyBorder="1" applyAlignment="1">
      <alignment vertical="top"/>
    </xf>
    <xf numFmtId="0" fontId="2" fillId="0" borderId="4" xfId="0" applyFont="1" applyBorder="1" applyAlignment="1">
      <alignment horizontal="center" vertical="justify"/>
    </xf>
    <xf numFmtId="0" fontId="2" fillId="0" borderId="5" xfId="0" applyFont="1" applyBorder="1" applyAlignment="1">
      <alignment horizontal="justify" vertical="justify"/>
    </xf>
    <xf numFmtId="0" fontId="0" fillId="0" borderId="0" xfId="0" applyAlignment="1">
      <alignment horizontal="justify" vertical="justify"/>
    </xf>
    <xf numFmtId="0" fontId="2" fillId="0" borderId="4" xfId="0" applyFont="1" applyFill="1" applyBorder="1" applyAlignment="1">
      <alignment vertical="top"/>
    </xf>
    <xf numFmtId="0" fontId="2" fillId="0" borderId="4" xfId="0" applyFont="1" applyFill="1" applyBorder="1" applyAlignment="1">
      <alignment horizontal="justify" vertical="justify"/>
    </xf>
    <xf numFmtId="0" fontId="0" fillId="0" borderId="8" xfId="0" applyBorder="1" applyAlignment="1"/>
    <xf numFmtId="0" fontId="2" fillId="0" borderId="0" xfId="0" applyFont="1"/>
    <xf numFmtId="0" fontId="2" fillId="3" borderId="5" xfId="0" applyFont="1" applyFill="1" applyBorder="1" applyAlignment="1">
      <alignment horizontal="center" vertical="justify"/>
    </xf>
    <xf numFmtId="0" fontId="2" fillId="3" borderId="5" xfId="0" applyFont="1" applyFill="1" applyBorder="1" applyAlignment="1">
      <alignment horizontal="justify" vertical="justify"/>
    </xf>
    <xf numFmtId="0" fontId="2" fillId="3" borderId="11" xfId="0" applyFont="1" applyFill="1" applyBorder="1" applyAlignment="1">
      <alignment horizontal="center" vertical="justify"/>
    </xf>
    <xf numFmtId="0" fontId="0" fillId="0" borderId="4" xfId="0" applyBorder="1" applyAlignment="1">
      <alignment horizontal="center" vertical="top"/>
    </xf>
    <xf numFmtId="0" fontId="2" fillId="0" borderId="4" xfId="0" applyFont="1" applyBorder="1" applyAlignment="1">
      <alignment horizontal="center"/>
    </xf>
    <xf numFmtId="0" fontId="2" fillId="0" borderId="4" xfId="0" applyFont="1" applyBorder="1" applyAlignment="1">
      <alignment horizontal="center" vertical="top"/>
    </xf>
    <xf numFmtId="0" fontId="2" fillId="0" borderId="5" xfId="0" applyFont="1" applyBorder="1" applyAlignment="1">
      <alignment horizontal="center" vertical="justify"/>
    </xf>
    <xf numFmtId="0" fontId="2" fillId="0" borderId="4" xfId="0" applyFont="1" applyFill="1" applyBorder="1" applyAlignment="1">
      <alignment horizontal="center" vertical="top"/>
    </xf>
    <xf numFmtId="164" fontId="2" fillId="0" borderId="4" xfId="1" applyNumberFormat="1" applyFont="1" applyBorder="1" applyAlignment="1">
      <alignment horizontal="justify" vertical="justify"/>
    </xf>
    <xf numFmtId="0" fontId="2" fillId="0" borderId="5" xfId="0" applyFont="1" applyBorder="1" applyAlignment="1">
      <alignment horizontal="justify" vertical="top"/>
    </xf>
    <xf numFmtId="0" fontId="2" fillId="0" borderId="5" xfId="0" applyFont="1" applyBorder="1" applyAlignment="1">
      <alignment horizontal="center" vertical="top"/>
    </xf>
    <xf numFmtId="164" fontId="2" fillId="0" borderId="4" xfId="1" applyNumberFormat="1" applyFont="1" applyBorder="1" applyAlignment="1">
      <alignment vertical="top"/>
    </xf>
    <xf numFmtId="0" fontId="2" fillId="0" borderId="4" xfId="0" applyFont="1" applyFill="1" applyBorder="1" applyAlignment="1">
      <alignment horizontal="justify" vertical="top"/>
    </xf>
    <xf numFmtId="0" fontId="10" fillId="0" borderId="4" xfId="0" applyFont="1" applyBorder="1" applyAlignment="1">
      <alignment vertical="center" wrapText="1"/>
    </xf>
    <xf numFmtId="0" fontId="10" fillId="0" borderId="4" xfId="0" applyFont="1" applyFill="1" applyBorder="1" applyAlignment="1">
      <alignment vertical="center" wrapText="1"/>
    </xf>
    <xf numFmtId="0" fontId="0" fillId="0" borderId="0" xfId="0" applyFont="1"/>
    <xf numFmtId="164" fontId="2" fillId="0" borderId="4" xfId="0" applyNumberFormat="1" applyFont="1" applyBorder="1" applyAlignment="1">
      <alignment vertical="top"/>
    </xf>
    <xf numFmtId="164" fontId="2" fillId="0" borderId="4" xfId="1" applyNumberFormat="1" applyFont="1" applyBorder="1"/>
    <xf numFmtId="0" fontId="3" fillId="4" borderId="0" xfId="0" applyFont="1" applyFill="1" applyBorder="1" applyAlignment="1">
      <alignment horizontal="left" vertical="top" wrapText="1"/>
    </xf>
    <xf numFmtId="0" fontId="3" fillId="4" borderId="4" xfId="0" applyFont="1" applyFill="1" applyBorder="1" applyAlignment="1">
      <alignment horizontal="left" vertical="top" wrapText="1"/>
    </xf>
    <xf numFmtId="164" fontId="2" fillId="0" borderId="4" xfId="1" applyNumberFormat="1" applyFont="1" applyBorder="1" applyAlignment="1">
      <alignment horizontal="justify" vertical="top"/>
    </xf>
    <xf numFmtId="164" fontId="0" fillId="0" borderId="4" xfId="1" applyNumberFormat="1" applyFont="1" applyBorder="1"/>
    <xf numFmtId="164" fontId="0" fillId="0" borderId="0" xfId="1" applyNumberFormat="1" applyFont="1"/>
    <xf numFmtId="0" fontId="2" fillId="0" borderId="0" xfId="0" applyFont="1" applyAlignment="1">
      <alignment vertical="top"/>
    </xf>
    <xf numFmtId="0" fontId="13" fillId="0" borderId="4" xfId="0" applyFont="1" applyBorder="1" applyAlignment="1">
      <alignment horizontal="justify" vertical="justify"/>
    </xf>
    <xf numFmtId="0" fontId="13" fillId="0" borderId="4" xfId="0" applyFont="1" applyBorder="1"/>
    <xf numFmtId="0" fontId="2" fillId="3" borderId="4" xfId="0" applyFont="1" applyFill="1" applyBorder="1" applyAlignment="1">
      <alignment horizontal="center" vertical="justify"/>
    </xf>
    <xf numFmtId="0" fontId="2" fillId="3" borderId="4" xfId="0" applyFont="1" applyFill="1" applyBorder="1" applyAlignment="1">
      <alignment horizontal="justify" vertical="justify"/>
    </xf>
    <xf numFmtId="0" fontId="13" fillId="0" borderId="4" xfId="0" applyFont="1" applyBorder="1" applyAlignment="1">
      <alignment vertical="center"/>
    </xf>
    <xf numFmtId="0" fontId="13" fillId="0" borderId="4" xfId="0" applyFont="1" applyBorder="1" applyAlignment="1">
      <alignment horizontal="center" vertical="center"/>
    </xf>
    <xf numFmtId="164" fontId="0" fillId="0" borderId="0" xfId="0" applyNumberFormat="1"/>
    <xf numFmtId="164" fontId="13" fillId="0" borderId="4" xfId="1" applyNumberFormat="1" applyFont="1" applyBorder="1"/>
    <xf numFmtId="164" fontId="13" fillId="0" borderId="4" xfId="1" applyNumberFormat="1" applyFont="1" applyBorder="1" applyAlignment="1">
      <alignment vertical="top"/>
    </xf>
    <xf numFmtId="0" fontId="13" fillId="0" borderId="4" xfId="0" applyFont="1" applyBorder="1" applyAlignment="1">
      <alignment vertical="top"/>
    </xf>
    <xf numFmtId="0" fontId="13" fillId="3" borderId="5" xfId="0" applyFont="1" applyFill="1" applyBorder="1" applyAlignment="1">
      <alignment horizontal="center" vertical="justify"/>
    </xf>
    <xf numFmtId="0" fontId="13" fillId="0" borderId="4" xfId="0" applyFont="1" applyBorder="1" applyAlignment="1">
      <alignment horizontal="justify" vertical="top"/>
    </xf>
    <xf numFmtId="0" fontId="13" fillId="0" borderId="4" xfId="0" applyFont="1" applyBorder="1" applyAlignment="1">
      <alignment horizontal="center" vertical="top"/>
    </xf>
    <xf numFmtId="0" fontId="13" fillId="3" borderId="4" xfId="0" applyFont="1" applyFill="1" applyBorder="1" applyAlignment="1">
      <alignment horizontal="center" vertical="justify"/>
    </xf>
    <xf numFmtId="0" fontId="15" fillId="0" borderId="4" xfId="0" applyFont="1" applyBorder="1" applyAlignment="1">
      <alignment horizontal="justify" vertical="justify" wrapText="1"/>
    </xf>
    <xf numFmtId="0" fontId="13" fillId="0" borderId="4" xfId="0" applyFont="1" applyBorder="1" applyAlignment="1">
      <alignment horizontal="center" vertical="top"/>
    </xf>
    <xf numFmtId="0" fontId="0" fillId="0" borderId="4" xfId="0" applyBorder="1" applyAlignment="1">
      <alignment horizontal="justify" vertical="justify"/>
    </xf>
    <xf numFmtId="0" fontId="13" fillId="0" borderId="0" xfId="0" applyFont="1"/>
    <xf numFmtId="0" fontId="13" fillId="0" borderId="0" xfId="0" applyFont="1" applyAlignment="1">
      <alignment horizontal="center" vertical="top"/>
    </xf>
    <xf numFmtId="0" fontId="13" fillId="0" borderId="4" xfId="0" applyFont="1" applyBorder="1" applyAlignment="1">
      <alignment horizontal="center"/>
    </xf>
    <xf numFmtId="0" fontId="13" fillId="3" borderId="4" xfId="0" applyFont="1" applyFill="1" applyBorder="1" applyAlignment="1">
      <alignment horizontal="justify" vertical="justify"/>
    </xf>
    <xf numFmtId="0" fontId="22" fillId="2" borderId="1" xfId="0" applyFont="1" applyFill="1" applyBorder="1" applyAlignment="1">
      <alignment horizontal="center"/>
    </xf>
    <xf numFmtId="0" fontId="22" fillId="7" borderId="8" xfId="0" applyFont="1" applyFill="1" applyBorder="1" applyAlignment="1">
      <alignment horizontal="center"/>
    </xf>
    <xf numFmtId="0" fontId="13" fillId="7" borderId="8" xfId="0" applyFont="1" applyFill="1" applyBorder="1" applyAlignment="1">
      <alignment horizontal="center"/>
    </xf>
    <xf numFmtId="164" fontId="13" fillId="0" borderId="4" xfId="1" applyNumberFormat="1" applyFont="1" applyBorder="1" applyAlignment="1">
      <alignment horizontal="justify" vertical="top"/>
    </xf>
    <xf numFmtId="0" fontId="24" fillId="0" borderId="14" xfId="0" applyFont="1" applyBorder="1" applyAlignment="1">
      <alignment horizontal="left" vertical="top" wrapText="1"/>
    </xf>
    <xf numFmtId="164" fontId="13" fillId="0" borderId="4" xfId="1" applyNumberFormat="1" applyFont="1" applyBorder="1" applyAlignment="1">
      <alignment horizontal="justify" vertical="justify"/>
    </xf>
    <xf numFmtId="0" fontId="22" fillId="7" borderId="1" xfId="0" applyFont="1" applyFill="1" applyBorder="1" applyAlignment="1">
      <alignment horizontal="center"/>
    </xf>
    <xf numFmtId="0" fontId="13" fillId="7" borderId="2" xfId="0" applyFont="1" applyFill="1" applyBorder="1" applyAlignment="1">
      <alignment horizontal="center"/>
    </xf>
    <xf numFmtId="0" fontId="15" fillId="0" borderId="4" xfId="0" applyFont="1" applyBorder="1" applyAlignment="1">
      <alignment horizontal="left" vertical="top" wrapText="1"/>
    </xf>
    <xf numFmtId="0" fontId="15" fillId="0" borderId="4" xfId="0" applyFont="1" applyBorder="1" applyAlignment="1">
      <alignment horizontal="justify" vertical="justify"/>
    </xf>
    <xf numFmtId="0" fontId="23" fillId="0" borderId="14" xfId="0" applyFont="1" applyBorder="1" applyAlignment="1">
      <alignment horizontal="justify" vertical="top" wrapText="1"/>
    </xf>
    <xf numFmtId="0" fontId="2" fillId="0" borderId="4" xfId="0" applyFont="1" applyBorder="1" applyAlignment="1">
      <alignment horizontal="center" vertical="center"/>
    </xf>
    <xf numFmtId="164" fontId="2" fillId="0" borderId="4" xfId="1" applyNumberFormat="1" applyFont="1" applyBorder="1" applyAlignment="1">
      <alignment vertical="center"/>
    </xf>
    <xf numFmtId="0" fontId="13" fillId="0" borderId="1" xfId="0" applyFont="1" applyBorder="1"/>
    <xf numFmtId="0" fontId="13" fillId="0" borderId="4" xfId="0" applyFont="1" applyFill="1" applyBorder="1" applyAlignment="1">
      <alignment vertical="top"/>
    </xf>
    <xf numFmtId="0" fontId="13" fillId="0" borderId="4" xfId="0" applyFont="1" applyFill="1" applyBorder="1" applyAlignment="1">
      <alignment horizontal="center" vertical="center"/>
    </xf>
    <xf numFmtId="164" fontId="13" fillId="0" borderId="4" xfId="1" applyNumberFormat="1" applyFont="1" applyBorder="1" applyAlignment="1">
      <alignment vertical="center"/>
    </xf>
    <xf numFmtId="0" fontId="23" fillId="0" borderId="14" xfId="0" applyFont="1" applyBorder="1" applyAlignment="1">
      <alignment horizontal="left" vertical="center" wrapText="1"/>
    </xf>
    <xf numFmtId="0" fontId="24" fillId="0" borderId="14" xfId="0" applyFont="1" applyBorder="1" applyAlignment="1">
      <alignment horizontal="left" vertical="center" wrapText="1"/>
    </xf>
    <xf numFmtId="0" fontId="24" fillId="0" borderId="14" xfId="0" applyFont="1" applyBorder="1" applyAlignment="1">
      <alignment horizontal="justify" vertical="top" wrapText="1"/>
    </xf>
    <xf numFmtId="0" fontId="13" fillId="0" borderId="4" xfId="0" applyFont="1" applyFill="1" applyBorder="1"/>
    <xf numFmtId="164" fontId="13" fillId="0" borderId="4" xfId="0" applyNumberFormat="1" applyFont="1" applyBorder="1" applyAlignment="1">
      <alignment vertical="center"/>
    </xf>
    <xf numFmtId="0" fontId="13" fillId="0" borderId="4" xfId="0" applyFont="1" applyBorder="1" applyAlignment="1">
      <alignment horizontal="center" vertical="justify"/>
    </xf>
    <xf numFmtId="0" fontId="0" fillId="7" borderId="8" xfId="0" applyFill="1" applyBorder="1" applyAlignment="1">
      <alignment horizontal="center" vertical="top"/>
    </xf>
    <xf numFmtId="164" fontId="2" fillId="0" borderId="12" xfId="1" applyNumberFormat="1" applyFont="1" applyFill="1" applyBorder="1"/>
    <xf numFmtId="164" fontId="2" fillId="0" borderId="4" xfId="1" applyNumberFormat="1" applyFont="1" applyFill="1" applyBorder="1"/>
    <xf numFmtId="164" fontId="13" fillId="0" borderId="4" xfId="1" applyNumberFormat="1" applyFont="1" applyBorder="1" applyAlignment="1">
      <alignment horizontal="right" vertical="justify"/>
    </xf>
    <xf numFmtId="164" fontId="2" fillId="0" borderId="4" xfId="1" applyNumberFormat="1" applyFont="1" applyBorder="1" applyAlignment="1">
      <alignment horizontal="center" vertical="center"/>
    </xf>
    <xf numFmtId="164" fontId="2" fillId="0" borderId="5" xfId="1" applyNumberFormat="1" applyFont="1" applyBorder="1" applyAlignment="1">
      <alignment horizontal="justify" vertical="top"/>
    </xf>
    <xf numFmtId="0" fontId="2" fillId="3" borderId="4" xfId="0" applyFont="1" applyFill="1" applyBorder="1" applyAlignment="1">
      <alignment horizontal="left" vertical="justify"/>
    </xf>
    <xf numFmtId="0" fontId="17" fillId="7" borderId="2" xfId="0" applyFont="1" applyFill="1" applyBorder="1" applyAlignment="1"/>
    <xf numFmtId="0" fontId="6" fillId="6" borderId="8" xfId="0" applyFont="1" applyFill="1" applyBorder="1" applyAlignment="1">
      <alignment horizontal="center"/>
    </xf>
    <xf numFmtId="0" fontId="6" fillId="2" borderId="8" xfId="0" applyFont="1" applyFill="1" applyBorder="1" applyAlignment="1">
      <alignment horizontal="center"/>
    </xf>
    <xf numFmtId="0" fontId="24" fillId="0" borderId="4" xfId="0" applyFont="1" applyBorder="1" applyAlignment="1">
      <alignment horizontal="left" vertical="top" wrapText="1"/>
    </xf>
    <xf numFmtId="164" fontId="2" fillId="0" borderId="0" xfId="0" applyNumberFormat="1" applyFont="1" applyAlignment="1">
      <alignment vertical="top"/>
    </xf>
    <xf numFmtId="0" fontId="6" fillId="7" borderId="8" xfId="0" applyFont="1" applyFill="1" applyBorder="1" applyAlignment="1">
      <alignment horizontal="center"/>
    </xf>
    <xf numFmtId="0" fontId="6" fillId="7" borderId="4" xfId="0" applyFont="1" applyFill="1" applyBorder="1" applyAlignment="1">
      <alignment horizontal="center"/>
    </xf>
    <xf numFmtId="0" fontId="28" fillId="0" borderId="4" xfId="0" applyFont="1" applyBorder="1" applyAlignment="1">
      <alignment vertical="top"/>
    </xf>
    <xf numFmtId="164" fontId="2" fillId="0" borderId="5" xfId="1" applyNumberFormat="1" applyFont="1" applyBorder="1" applyAlignment="1">
      <alignment horizontal="justify" vertical="justify"/>
    </xf>
    <xf numFmtId="0" fontId="0" fillId="0" borderId="4" xfId="0" applyBorder="1" applyAlignment="1">
      <alignment horizontal="center" vertical="justify"/>
    </xf>
    <xf numFmtId="0" fontId="26" fillId="0" borderId="14" xfId="0" applyFont="1" applyBorder="1" applyAlignment="1">
      <alignment horizontal="justify" vertical="top" wrapText="1"/>
    </xf>
    <xf numFmtId="0" fontId="3" fillId="0" borderId="7" xfId="0" applyFont="1" applyFill="1" applyBorder="1" applyAlignment="1">
      <alignment horizontal="justify" vertical="top" wrapText="1"/>
    </xf>
    <xf numFmtId="0" fontId="8" fillId="4" borderId="7" xfId="0" applyFont="1" applyFill="1" applyBorder="1" applyAlignment="1">
      <alignment horizontal="justify" vertical="top" wrapText="1"/>
    </xf>
    <xf numFmtId="0" fontId="2" fillId="0" borderId="1" xfId="0" applyFont="1" applyBorder="1" applyAlignment="1">
      <alignment horizontal="justify" vertical="top"/>
    </xf>
    <xf numFmtId="0" fontId="3" fillId="4" borderId="10" xfId="0" applyFont="1" applyFill="1" applyBorder="1" applyAlignment="1">
      <alignment horizontal="justify" vertical="top" wrapText="1"/>
    </xf>
    <xf numFmtId="0" fontId="3" fillId="4" borderId="4" xfId="0" applyFont="1" applyFill="1" applyBorder="1" applyAlignment="1">
      <alignment horizontal="justify" vertical="top" wrapText="1"/>
    </xf>
    <xf numFmtId="0" fontId="2" fillId="0" borderId="0" xfId="0" applyFont="1" applyBorder="1" applyAlignment="1">
      <alignment horizontal="justify" vertical="top"/>
    </xf>
    <xf numFmtId="0" fontId="2" fillId="0" borderId="6" xfId="0" applyFont="1" applyBorder="1" applyAlignment="1">
      <alignment horizontal="center" vertical="top"/>
    </xf>
    <xf numFmtId="0" fontId="4" fillId="4" borderId="13" xfId="0" applyFont="1" applyFill="1" applyBorder="1" applyAlignment="1">
      <alignment horizontal="justify" vertical="top" wrapText="1"/>
    </xf>
    <xf numFmtId="0" fontId="26" fillId="0" borderId="16" xfId="0" applyFont="1" applyBorder="1" applyAlignment="1">
      <alignment horizontal="justify" vertical="top" wrapText="1"/>
    </xf>
    <xf numFmtId="0" fontId="26" fillId="0" borderId="4" xfId="0" applyFont="1" applyBorder="1" applyAlignment="1">
      <alignment horizontal="justify" vertical="top" wrapText="1"/>
    </xf>
    <xf numFmtId="0" fontId="18" fillId="0" borderId="4" xfId="0" applyFont="1" applyBorder="1" applyAlignment="1">
      <alignment horizontal="justify" vertical="justify" wrapText="1"/>
    </xf>
    <xf numFmtId="164" fontId="13" fillId="0" borderId="4" xfId="0" applyNumberFormat="1" applyFont="1" applyBorder="1" applyAlignment="1">
      <alignment horizontal="justify" vertical="justify"/>
    </xf>
    <xf numFmtId="0" fontId="19" fillId="0" borderId="4" xfId="0" applyFont="1" applyBorder="1" applyAlignment="1">
      <alignment horizontal="justify" vertical="justify" wrapText="1"/>
    </xf>
    <xf numFmtId="0" fontId="0" fillId="0" borderId="4" xfId="0" applyBorder="1" applyAlignment="1">
      <alignment horizontal="justify" vertical="center"/>
    </xf>
    <xf numFmtId="164" fontId="13" fillId="0" borderId="4" xfId="0" applyNumberFormat="1" applyFont="1" applyBorder="1" applyAlignment="1">
      <alignment horizontal="right" vertical="justify"/>
    </xf>
    <xf numFmtId="165" fontId="18" fillId="0" borderId="4" xfId="0" applyNumberFormat="1" applyFont="1" applyBorder="1" applyAlignment="1">
      <alignment horizontal="right" vertical="justify" wrapText="1"/>
    </xf>
    <xf numFmtId="0" fontId="12" fillId="5" borderId="4" xfId="0" applyFont="1" applyFill="1" applyBorder="1" applyAlignment="1">
      <alignment horizontal="justify" vertical="justify" wrapText="1"/>
    </xf>
    <xf numFmtId="0" fontId="24" fillId="0" borderId="14" xfId="0" applyFont="1" applyBorder="1" applyAlignment="1">
      <alignment horizontal="justify" vertical="justify" wrapText="1"/>
    </xf>
    <xf numFmtId="0" fontId="15" fillId="5" borderId="4" xfId="0" applyFont="1" applyFill="1" applyBorder="1" applyAlignment="1">
      <alignment horizontal="justify" vertical="justify" wrapText="1"/>
    </xf>
    <xf numFmtId="0" fontId="15" fillId="0" borderId="4" xfId="0" applyFont="1" applyBorder="1" applyAlignment="1">
      <alignment horizontal="center" vertical="justify"/>
    </xf>
    <xf numFmtId="0" fontId="15" fillId="0" borderId="4" xfId="0" applyFont="1" applyBorder="1" applyAlignment="1">
      <alignment horizontal="center" vertical="justify" wrapText="1"/>
    </xf>
    <xf numFmtId="0" fontId="12" fillId="5" borderId="4" xfId="0" applyFont="1" applyFill="1" applyBorder="1" applyAlignment="1">
      <alignment horizontal="center" vertical="justify"/>
    </xf>
    <xf numFmtId="0" fontId="15" fillId="5" borderId="4" xfId="0" applyFont="1" applyFill="1" applyBorder="1" applyAlignment="1">
      <alignment horizontal="center" vertical="justify" wrapText="1"/>
    </xf>
    <xf numFmtId="3" fontId="12" fillId="5" borderId="4" xfId="0" applyNumberFormat="1" applyFont="1" applyFill="1" applyBorder="1" applyAlignment="1">
      <alignment horizontal="right" vertical="justify" wrapText="1"/>
    </xf>
    <xf numFmtId="3" fontId="15" fillId="0" borderId="4" xfId="0" applyNumberFormat="1" applyFont="1" applyBorder="1" applyAlignment="1">
      <alignment horizontal="right" vertical="justify"/>
    </xf>
    <xf numFmtId="3" fontId="16" fillId="0" borderId="4" xfId="0" applyNumberFormat="1" applyFont="1" applyBorder="1" applyAlignment="1">
      <alignment horizontal="right" vertical="justify"/>
    </xf>
    <xf numFmtId="0" fontId="15" fillId="0" borderId="4" xfId="0" applyFont="1" applyBorder="1" applyAlignment="1">
      <alignment horizontal="right" vertical="justify"/>
    </xf>
    <xf numFmtId="0" fontId="24" fillId="0" borderId="15" xfId="0" applyFont="1" applyBorder="1" applyAlignment="1">
      <alignment horizontal="justify" vertical="justify" wrapText="1"/>
    </xf>
    <xf numFmtId="43" fontId="2" fillId="0" borderId="4" xfId="1" applyFont="1" applyBorder="1" applyAlignment="1">
      <alignment horizontal="justify" vertical="justify"/>
    </xf>
    <xf numFmtId="164" fontId="2" fillId="0" borderId="4" xfId="0" applyNumberFormat="1" applyFont="1" applyBorder="1" applyAlignment="1">
      <alignment horizontal="justify" vertical="justify"/>
    </xf>
    <xf numFmtId="0" fontId="27" fillId="0" borderId="14" xfId="0" applyFont="1" applyBorder="1" applyAlignment="1">
      <alignment horizontal="justify" vertical="justify" wrapText="1"/>
    </xf>
    <xf numFmtId="0" fontId="4" fillId="0" borderId="4" xfId="0" applyFont="1" applyFill="1" applyBorder="1" applyAlignment="1">
      <alignment horizontal="justify" vertical="justify"/>
    </xf>
    <xf numFmtId="0" fontId="9" fillId="0" borderId="4" xfId="0" applyFont="1" applyBorder="1" applyAlignment="1">
      <alignment horizontal="justify" vertical="justify"/>
    </xf>
    <xf numFmtId="0" fontId="2" fillId="0" borderId="12" xfId="0" applyFont="1" applyFill="1" applyBorder="1" applyAlignment="1">
      <alignment horizontal="justify" vertical="justify"/>
    </xf>
    <xf numFmtId="0" fontId="27" fillId="0" borderId="16" xfId="0" applyFont="1" applyBorder="1" applyAlignment="1">
      <alignment horizontal="justify" vertical="justify" wrapText="1"/>
    </xf>
    <xf numFmtId="0" fontId="13" fillId="0" borderId="4" xfId="0" applyFont="1" applyFill="1" applyBorder="1" applyAlignment="1">
      <alignment horizontal="justify" vertical="justify"/>
    </xf>
    <xf numFmtId="0" fontId="24" fillId="0" borderId="4" xfId="0" applyFont="1" applyBorder="1" applyAlignment="1">
      <alignment horizontal="justify" vertical="justify" wrapText="1"/>
    </xf>
    <xf numFmtId="0" fontId="21" fillId="0" borderId="4" xfId="0" applyFont="1" applyBorder="1" applyAlignment="1">
      <alignment horizontal="justify" vertical="justify"/>
    </xf>
    <xf numFmtId="3" fontId="20" fillId="0" borderId="4" xfId="3" applyNumberFormat="1" applyFont="1" applyBorder="1" applyAlignment="1">
      <alignment horizontal="justify" vertical="justify" wrapText="1"/>
    </xf>
    <xf numFmtId="3" fontId="20" fillId="0" borderId="4" xfId="0" applyNumberFormat="1" applyFont="1" applyBorder="1" applyAlignment="1">
      <alignment horizontal="justify" vertical="justify"/>
    </xf>
    <xf numFmtId="0" fontId="21" fillId="0" borderId="4" xfId="0" applyFont="1" applyBorder="1" applyAlignment="1">
      <alignment horizontal="justify" vertical="justify" wrapText="1"/>
    </xf>
    <xf numFmtId="0" fontId="21" fillId="5" borderId="4" xfId="0" applyFont="1" applyFill="1" applyBorder="1" applyAlignment="1">
      <alignment horizontal="justify" vertical="justify" wrapText="1"/>
    </xf>
    <xf numFmtId="0" fontId="6" fillId="7" borderId="8" xfId="0" applyFont="1" applyFill="1" applyBorder="1" applyAlignment="1">
      <alignment horizontal="justify" vertical="justify"/>
    </xf>
    <xf numFmtId="0" fontId="2" fillId="3" borderId="11" xfId="0" applyFont="1" applyFill="1" applyBorder="1" applyAlignment="1">
      <alignment horizontal="justify" vertical="justify"/>
    </xf>
    <xf numFmtId="0" fontId="12" fillId="0" borderId="4" xfId="0" applyFont="1" applyBorder="1" applyAlignment="1">
      <alignment horizontal="justify" vertical="justify" wrapText="1"/>
    </xf>
    <xf numFmtId="0" fontId="13" fillId="0" borderId="4" xfId="0" applyFont="1" applyFill="1" applyBorder="1" applyAlignment="1">
      <alignment horizontal="center" vertical="justify"/>
    </xf>
    <xf numFmtId="0" fontId="12" fillId="0" borderId="4" xfId="0" applyFont="1" applyBorder="1" applyAlignment="1">
      <alignment horizontal="center" vertical="justify"/>
    </xf>
    <xf numFmtId="3" fontId="12" fillId="0" borderId="4" xfId="0" applyNumberFormat="1" applyFont="1" applyBorder="1" applyAlignment="1">
      <alignment horizontal="right" vertical="justify" wrapText="1"/>
    </xf>
    <xf numFmtId="0" fontId="13" fillId="0" borderId="4" xfId="0" applyFont="1" applyBorder="1" applyAlignment="1">
      <alignment horizontal="right" vertical="justify"/>
    </xf>
    <xf numFmtId="1" fontId="12" fillId="0" borderId="4" xfId="0" applyNumberFormat="1" applyFont="1" applyBorder="1" applyAlignment="1">
      <alignment horizontal="right" vertical="justify" wrapText="1"/>
    </xf>
    <xf numFmtId="0" fontId="12" fillId="0" borderId="4" xfId="0" applyFont="1" applyBorder="1" applyAlignment="1">
      <alignment horizontal="right" vertical="justify" wrapText="1"/>
    </xf>
    <xf numFmtId="3" fontId="14" fillId="0" borderId="4" xfId="0" applyNumberFormat="1" applyFont="1" applyBorder="1" applyAlignment="1">
      <alignment horizontal="right" vertical="justify" wrapText="1"/>
    </xf>
    <xf numFmtId="0" fontId="13" fillId="0" borderId="0" xfId="0" applyFont="1" applyAlignment="1">
      <alignment horizontal="justify" vertical="top"/>
    </xf>
    <xf numFmtId="164" fontId="13" fillId="0" borderId="4" xfId="1" applyNumberFormat="1" applyFont="1" applyBorder="1" applyAlignment="1">
      <alignment horizontal="right" vertical="top"/>
    </xf>
    <xf numFmtId="0" fontId="13" fillId="0" borderId="5" xfId="0" applyFont="1" applyBorder="1" applyAlignment="1">
      <alignment horizontal="justify" vertical="justify"/>
    </xf>
    <xf numFmtId="164" fontId="13" fillId="0" borderId="5" xfId="1" applyNumberFormat="1" applyFont="1" applyBorder="1" applyAlignment="1">
      <alignment horizontal="justify" vertical="justify"/>
    </xf>
    <xf numFmtId="0" fontId="24" fillId="0" borderId="16" xfId="0" applyFont="1" applyBorder="1" applyAlignment="1">
      <alignment horizontal="justify" vertical="justify" wrapText="1"/>
    </xf>
    <xf numFmtId="164" fontId="0" fillId="0" borderId="4" xfId="1" applyNumberFormat="1" applyFont="1" applyBorder="1" applyAlignment="1">
      <alignment horizontal="justify" vertical="justify"/>
    </xf>
    <xf numFmtId="164" fontId="0" fillId="0" borderId="4" xfId="0" applyNumberFormat="1" applyBorder="1" applyAlignment="1">
      <alignment horizontal="justify" vertical="justify"/>
    </xf>
    <xf numFmtId="0" fontId="29" fillId="0" borderId="0" xfId="0" applyFont="1" applyFill="1" applyBorder="1" applyAlignment="1">
      <alignment horizontal="center"/>
    </xf>
    <xf numFmtId="0" fontId="5" fillId="7" borderId="11" xfId="0" applyFont="1" applyFill="1" applyBorder="1" applyAlignment="1">
      <alignment horizontal="left"/>
    </xf>
    <xf numFmtId="0" fontId="6" fillId="7" borderId="8" xfId="0" applyFont="1" applyFill="1" applyBorder="1" applyAlignment="1">
      <alignment horizontal="left"/>
    </xf>
    <xf numFmtId="0" fontId="20" fillId="0" borderId="4" xfId="0" applyFont="1" applyBorder="1" applyAlignment="1">
      <alignment horizontal="justify" vertical="top" wrapText="1"/>
    </xf>
    <xf numFmtId="0" fontId="21" fillId="0" borderId="4" xfId="0" applyFont="1" applyBorder="1" applyAlignment="1">
      <alignment horizontal="justify" vertical="top"/>
    </xf>
    <xf numFmtId="0" fontId="21" fillId="0" borderId="4" xfId="0" applyFont="1" applyBorder="1" applyAlignment="1">
      <alignment horizontal="justify" vertical="top" wrapText="1"/>
    </xf>
    <xf numFmtId="0" fontId="0" fillId="0" borderId="0" xfId="0" applyAlignment="1">
      <alignment horizontal="justify" vertical="top"/>
    </xf>
    <xf numFmtId="0" fontId="2" fillId="0" borderId="4" xfId="0" applyFont="1" applyFill="1" applyBorder="1" applyAlignment="1">
      <alignment horizontal="center" vertical="justify"/>
    </xf>
    <xf numFmtId="164" fontId="2" fillId="0" borderId="4" xfId="1" applyNumberFormat="1" applyFont="1" applyFill="1" applyBorder="1" applyAlignment="1">
      <alignment horizontal="center" vertical="justify"/>
    </xf>
    <xf numFmtId="164" fontId="2" fillId="0" borderId="4" xfId="1" applyNumberFormat="1" applyFont="1" applyFill="1" applyBorder="1" applyAlignment="1">
      <alignment horizontal="right" vertical="justify"/>
    </xf>
    <xf numFmtId="0" fontId="30" fillId="3" borderId="4" xfId="0" applyFont="1" applyFill="1" applyBorder="1" applyAlignment="1">
      <alignment horizontal="justify" vertical="justify"/>
    </xf>
    <xf numFmtId="0" fontId="30" fillId="3" borderId="4" xfId="0" applyFont="1" applyFill="1" applyBorder="1" applyAlignment="1">
      <alignment horizontal="center" vertical="justify"/>
    </xf>
    <xf numFmtId="0" fontId="30" fillId="3" borderId="4" xfId="0" applyFont="1" applyFill="1" applyBorder="1" applyAlignment="1">
      <alignment horizontal="justify" vertical="top"/>
    </xf>
    <xf numFmtId="0" fontId="30" fillId="3" borderId="4" xfId="0" applyFont="1" applyFill="1" applyBorder="1" applyAlignment="1">
      <alignment horizontal="center" vertical="top"/>
    </xf>
    <xf numFmtId="0" fontId="0" fillId="0" borderId="0" xfId="0" applyAlignment="1">
      <alignment horizontal="center"/>
    </xf>
    <xf numFmtId="0" fontId="13" fillId="0" borderId="0" xfId="0" applyFont="1" applyBorder="1" applyAlignment="1">
      <alignment horizontal="center" vertical="justify"/>
    </xf>
    <xf numFmtId="0" fontId="13" fillId="0" borderId="0" xfId="0" applyFont="1" applyBorder="1" applyAlignment="1">
      <alignment horizontal="justify" vertical="justify"/>
    </xf>
    <xf numFmtId="0" fontId="13" fillId="0" borderId="5" xfId="0" applyFont="1" applyBorder="1" applyAlignment="1">
      <alignment horizontal="justify" vertical="top"/>
    </xf>
    <xf numFmtId="0" fontId="22" fillId="2" borderId="1" xfId="0" applyFont="1" applyFill="1" applyBorder="1" applyAlignment="1">
      <alignment horizontal="center"/>
    </xf>
    <xf numFmtId="0" fontId="22" fillId="2" borderId="2" xfId="0" applyFont="1" applyFill="1" applyBorder="1" applyAlignment="1">
      <alignment horizontal="center"/>
    </xf>
    <xf numFmtId="0" fontId="13" fillId="2" borderId="2" xfId="0" applyFont="1" applyFill="1" applyBorder="1" applyAlignment="1">
      <alignment horizontal="center"/>
    </xf>
    <xf numFmtId="0" fontId="22" fillId="7" borderId="2" xfId="0" applyFont="1" applyFill="1" applyBorder="1" applyAlignment="1">
      <alignment horizontal="center"/>
    </xf>
    <xf numFmtId="0" fontId="22" fillId="7" borderId="3" xfId="0" applyFont="1" applyFill="1" applyBorder="1" applyAlignment="1">
      <alignment horizontal="center"/>
    </xf>
    <xf numFmtId="0" fontId="25" fillId="7" borderId="2" xfId="0" applyFont="1" applyFill="1" applyBorder="1" applyAlignment="1">
      <alignment horizontal="center"/>
    </xf>
    <xf numFmtId="0" fontId="22" fillId="7" borderId="1" xfId="0" applyFont="1" applyFill="1" applyBorder="1" applyAlignment="1">
      <alignment horizontal="center"/>
    </xf>
    <xf numFmtId="0" fontId="1" fillId="2" borderId="1" xfId="0" applyFont="1" applyFill="1" applyBorder="1" applyAlignment="1">
      <alignment horizontal="center" vertical="top"/>
    </xf>
    <xf numFmtId="0" fontId="0" fillId="2" borderId="2" xfId="0" applyFill="1" applyBorder="1" applyAlignment="1">
      <alignment horizontal="center" vertical="top"/>
    </xf>
    <xf numFmtId="0" fontId="0" fillId="2" borderId="3" xfId="0" applyFill="1" applyBorder="1" applyAlignment="1">
      <alignment horizontal="center" vertical="top"/>
    </xf>
    <xf numFmtId="0" fontId="1" fillId="7" borderId="1" xfId="0" applyFont="1" applyFill="1" applyBorder="1" applyAlignment="1">
      <alignment horizontal="center" vertical="top"/>
    </xf>
    <xf numFmtId="0" fontId="1" fillId="7" borderId="2" xfId="0" applyFont="1" applyFill="1" applyBorder="1" applyAlignment="1">
      <alignment horizontal="center" vertical="top"/>
    </xf>
    <xf numFmtId="0" fontId="1" fillId="7" borderId="3" xfId="0" applyFont="1" applyFill="1" applyBorder="1" applyAlignment="1">
      <alignment horizontal="center" vertical="top"/>
    </xf>
    <xf numFmtId="0" fontId="1" fillId="2" borderId="2" xfId="0" applyFont="1" applyFill="1" applyBorder="1" applyAlignment="1">
      <alignment horizontal="center" vertical="top"/>
    </xf>
    <xf numFmtId="0" fontId="1" fillId="2" borderId="3" xfId="0" applyFont="1" applyFill="1" applyBorder="1" applyAlignment="1">
      <alignment horizontal="center" vertical="top"/>
    </xf>
    <xf numFmtId="0" fontId="1" fillId="7" borderId="1" xfId="0" applyFont="1" applyFill="1" applyBorder="1" applyAlignment="1">
      <alignment horizontal="left" vertical="top"/>
    </xf>
    <xf numFmtId="0" fontId="1" fillId="7" borderId="2" xfId="0" applyFont="1" applyFill="1" applyBorder="1" applyAlignment="1">
      <alignment horizontal="left" vertical="top"/>
    </xf>
    <xf numFmtId="0" fontId="5" fillId="2" borderId="4" xfId="0" applyFont="1" applyFill="1" applyBorder="1" applyAlignment="1">
      <alignment horizontal="center"/>
    </xf>
    <xf numFmtId="0" fontId="6" fillId="2" borderId="4" xfId="0" applyFont="1" applyFill="1" applyBorder="1" applyAlignment="1">
      <alignment horizontal="center"/>
    </xf>
    <xf numFmtId="0" fontId="17" fillId="7" borderId="1" xfId="0" applyFont="1" applyFill="1" applyBorder="1" applyAlignment="1">
      <alignment horizontal="center"/>
    </xf>
    <xf numFmtId="0" fontId="17" fillId="7" borderId="2" xfId="0" applyFont="1" applyFill="1" applyBorder="1" applyAlignment="1">
      <alignment horizontal="center"/>
    </xf>
    <xf numFmtId="0" fontId="17" fillId="7" borderId="3" xfId="0" applyFont="1" applyFill="1" applyBorder="1" applyAlignment="1">
      <alignment horizontal="center"/>
    </xf>
    <xf numFmtId="0" fontId="5"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5" fillId="6" borderId="1" xfId="0" applyFont="1" applyFill="1" applyBorder="1" applyAlignment="1">
      <alignment horizontal="left"/>
    </xf>
    <xf numFmtId="0" fontId="5" fillId="6" borderId="2" xfId="0" applyFont="1" applyFill="1" applyBorder="1" applyAlignment="1">
      <alignment horizontal="left"/>
    </xf>
    <xf numFmtId="0" fontId="17" fillId="6" borderId="2" xfId="0" applyFont="1" applyFill="1" applyBorder="1" applyAlignment="1">
      <alignment horizontal="center"/>
    </xf>
    <xf numFmtId="0" fontId="17" fillId="6" borderId="3" xfId="0" applyFont="1" applyFill="1" applyBorder="1" applyAlignment="1">
      <alignment horizontal="center"/>
    </xf>
    <xf numFmtId="0" fontId="5" fillId="6" borderId="11" xfId="0" applyFont="1" applyFill="1" applyBorder="1" applyAlignment="1">
      <alignment horizontal="left"/>
    </xf>
    <xf numFmtId="0" fontId="5" fillId="6" borderId="8" xfId="0" applyFont="1" applyFill="1" applyBorder="1" applyAlignment="1">
      <alignment horizontal="left"/>
    </xf>
    <xf numFmtId="0" fontId="17" fillId="6" borderId="8" xfId="0" applyFont="1" applyFill="1" applyBorder="1" applyAlignment="1">
      <alignment horizontal="center"/>
    </xf>
    <xf numFmtId="0" fontId="17" fillId="6" borderId="9"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7" borderId="2" xfId="0" applyFont="1" applyFill="1" applyBorder="1" applyAlignment="1">
      <alignment horizontal="center"/>
    </xf>
    <xf numFmtId="0" fontId="5" fillId="7" borderId="3" xfId="0" applyFont="1" applyFill="1" applyBorder="1" applyAlignment="1">
      <alignment horizontal="center"/>
    </xf>
    <xf numFmtId="0" fontId="17" fillId="7" borderId="1" xfId="0" applyFont="1" applyFill="1" applyBorder="1" applyAlignment="1">
      <alignment horizontal="left"/>
    </xf>
    <xf numFmtId="0" fontId="17" fillId="7" borderId="2" xfId="0" applyFont="1" applyFill="1" applyBorder="1" applyAlignment="1">
      <alignment horizontal="left"/>
    </xf>
    <xf numFmtId="0" fontId="5" fillId="2" borderId="1" xfId="0" applyFont="1" applyFill="1" applyBorder="1" applyAlignment="1">
      <alignment horizontal="center" vertical="justify"/>
    </xf>
    <xf numFmtId="0" fontId="6" fillId="2" borderId="2" xfId="0" applyFont="1" applyFill="1" applyBorder="1" applyAlignment="1">
      <alignment horizontal="center" vertical="justify"/>
    </xf>
    <xf numFmtId="0" fontId="6" fillId="2" borderId="3" xfId="0" applyFont="1" applyFill="1" applyBorder="1" applyAlignment="1">
      <alignment horizontal="center" vertical="justify"/>
    </xf>
    <xf numFmtId="0" fontId="5" fillId="7" borderId="1" xfId="0" applyFont="1" applyFill="1" applyBorder="1" applyAlignment="1">
      <alignment horizontal="justify" vertical="justify"/>
    </xf>
    <xf numFmtId="0" fontId="5" fillId="7" borderId="2" xfId="0" applyFont="1" applyFill="1" applyBorder="1" applyAlignment="1">
      <alignment horizontal="justify" vertical="justify"/>
    </xf>
    <xf numFmtId="0" fontId="5" fillId="7" borderId="3" xfId="0" applyFont="1" applyFill="1" applyBorder="1" applyAlignment="1">
      <alignment horizontal="justify" vertical="justify"/>
    </xf>
    <xf numFmtId="0" fontId="0" fillId="0" borderId="4" xfId="0" applyBorder="1" applyAlignment="1">
      <alignment horizontal="justify" vertical="justify"/>
    </xf>
    <xf numFmtId="0" fontId="5" fillId="2" borderId="1" xfId="0" applyFont="1" applyFill="1" applyBorder="1" applyAlignment="1">
      <alignment horizontal="justify" vertical="justify"/>
    </xf>
    <xf numFmtId="0" fontId="6" fillId="2" borderId="2" xfId="0" applyFont="1" applyFill="1" applyBorder="1" applyAlignment="1">
      <alignment horizontal="justify" vertical="justify"/>
    </xf>
    <xf numFmtId="0" fontId="6" fillId="2" borderId="3" xfId="0" applyFont="1" applyFill="1" applyBorder="1" applyAlignment="1">
      <alignment horizontal="justify" vertical="justify"/>
    </xf>
    <xf numFmtId="0" fontId="5" fillId="7" borderId="1" xfId="0" applyFont="1" applyFill="1" applyBorder="1" applyAlignment="1">
      <alignment horizontal="center"/>
    </xf>
    <xf numFmtId="0" fontId="5" fillId="2" borderId="11" xfId="0" applyFont="1" applyFill="1" applyBorder="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5" fillId="7" borderId="4" xfId="0" applyFont="1" applyFill="1" applyBorder="1" applyAlignment="1">
      <alignment horizontal="center"/>
    </xf>
    <xf numFmtId="0" fontId="5" fillId="2" borderId="2" xfId="0" applyFont="1" applyFill="1" applyBorder="1" applyAlignment="1">
      <alignment horizontal="justify" vertical="justify"/>
    </xf>
    <xf numFmtId="0" fontId="5" fillId="2" borderId="3" xfId="0" applyFont="1" applyFill="1" applyBorder="1" applyAlignment="1">
      <alignment horizontal="justify" vertical="justify"/>
    </xf>
    <xf numFmtId="0" fontId="6" fillId="7" borderId="1" xfId="0" applyFont="1" applyFill="1" applyBorder="1" applyAlignment="1">
      <alignment horizontal="center"/>
    </xf>
    <xf numFmtId="0" fontId="6" fillId="7" borderId="2" xfId="0" applyFont="1" applyFill="1" applyBorder="1" applyAlignment="1">
      <alignment horizontal="center"/>
    </xf>
    <xf numFmtId="0" fontId="6" fillId="7" borderId="3" xfId="0" applyFont="1" applyFill="1" applyBorder="1" applyAlignment="1">
      <alignment horizontal="center"/>
    </xf>
    <xf numFmtId="0" fontId="29" fillId="0" borderId="0" xfId="0" applyFont="1" applyFill="1" applyBorder="1" applyAlignment="1">
      <alignment horizontal="center"/>
    </xf>
    <xf numFmtId="164" fontId="0" fillId="0" borderId="0" xfId="0" applyNumberFormat="1" applyAlignment="1">
      <alignment horizontal="justify" vertical="justify"/>
    </xf>
    <xf numFmtId="0" fontId="13" fillId="0" borderId="0" xfId="0" applyFont="1" applyBorder="1" applyAlignment="1">
      <alignment horizontal="justify" vertical="top"/>
    </xf>
    <xf numFmtId="0" fontId="13" fillId="0" borderId="0" xfId="0" applyFont="1" applyBorder="1" applyAlignment="1">
      <alignment horizontal="center" vertical="top"/>
    </xf>
    <xf numFmtId="164" fontId="13" fillId="0" borderId="0" xfId="1" applyNumberFormat="1" applyFont="1" applyBorder="1" applyAlignment="1">
      <alignment horizontal="justify" vertical="top"/>
    </xf>
    <xf numFmtId="0" fontId="24" fillId="0" borderId="0" xfId="0" applyFont="1" applyBorder="1" applyAlignment="1">
      <alignment horizontal="left" vertical="top" wrapText="1"/>
    </xf>
    <xf numFmtId="164" fontId="13" fillId="0" borderId="0" xfId="1" applyNumberFormat="1" applyFont="1" applyBorder="1" applyAlignment="1">
      <alignment horizontal="justify" vertical="justify"/>
    </xf>
  </cellXfs>
  <cellStyles count="4">
    <cellStyle name="Millares" xfId="1" builtinId="3"/>
    <cellStyle name="Moneda" xfId="3" builtinId="4"/>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5"/>
  <sheetViews>
    <sheetView workbookViewId="0">
      <selection activeCell="C14" sqref="C14"/>
    </sheetView>
  </sheetViews>
  <sheetFormatPr baseColWidth="10" defaultRowHeight="15" x14ac:dyDescent="0.25"/>
  <cols>
    <col min="1" max="1" width="6.140625" customWidth="1"/>
    <col min="2" max="2" width="26.85546875" customWidth="1"/>
    <col min="3" max="3" width="22.5703125" customWidth="1"/>
    <col min="4" max="4" width="6.42578125" customWidth="1"/>
    <col min="5" max="5" width="6.5703125" customWidth="1"/>
    <col min="6" max="6" width="10.42578125" customWidth="1"/>
    <col min="7" max="7" width="9.7109375" customWidth="1"/>
    <col min="11" max="11" width="20" customWidth="1"/>
  </cols>
  <sheetData>
    <row r="2" spans="1:11" x14ac:dyDescent="0.25">
      <c r="A2" s="179" t="s">
        <v>1100</v>
      </c>
      <c r="B2" s="180"/>
      <c r="C2" s="181"/>
      <c r="D2" s="181"/>
      <c r="E2" s="181"/>
      <c r="F2" s="181"/>
      <c r="G2" s="181"/>
      <c r="H2" s="181"/>
      <c r="I2" s="181"/>
      <c r="J2" s="181"/>
      <c r="K2" s="181"/>
    </row>
    <row r="3" spans="1:11" x14ac:dyDescent="0.25">
      <c r="A3" s="61"/>
      <c r="B3" s="62" t="s">
        <v>922</v>
      </c>
      <c r="C3" s="63"/>
      <c r="D3" s="63"/>
      <c r="E3" s="63"/>
      <c r="F3" s="63"/>
      <c r="G3" s="63"/>
      <c r="H3" s="63"/>
      <c r="I3" s="182" t="s">
        <v>1066</v>
      </c>
      <c r="J3" s="182"/>
      <c r="K3" s="182"/>
    </row>
    <row r="4" spans="1:11" ht="33.75" x14ac:dyDescent="0.25">
      <c r="A4" s="53" t="s">
        <v>0</v>
      </c>
      <c r="B4" s="16" t="s">
        <v>1</v>
      </c>
      <c r="C4" s="17" t="s">
        <v>2</v>
      </c>
      <c r="D4" s="16" t="s">
        <v>3</v>
      </c>
      <c r="E4" s="16" t="s">
        <v>4</v>
      </c>
      <c r="F4" s="16" t="s">
        <v>5</v>
      </c>
      <c r="G4" s="16" t="s">
        <v>357</v>
      </c>
      <c r="H4" s="16" t="s">
        <v>6</v>
      </c>
      <c r="I4" s="16" t="s">
        <v>926</v>
      </c>
      <c r="J4" s="16" t="s">
        <v>8</v>
      </c>
      <c r="K4" s="16" t="s">
        <v>923</v>
      </c>
    </row>
    <row r="5" spans="1:11" ht="72" x14ac:dyDescent="0.25">
      <c r="A5" s="52">
        <v>1</v>
      </c>
      <c r="B5" s="64" t="s">
        <v>920</v>
      </c>
      <c r="C5" s="64" t="s">
        <v>921</v>
      </c>
      <c r="D5" s="64">
        <v>1</v>
      </c>
      <c r="E5" s="48" t="s">
        <v>12</v>
      </c>
      <c r="F5" s="48">
        <v>14490000</v>
      </c>
      <c r="G5" s="48">
        <v>14490000</v>
      </c>
      <c r="H5" s="48" t="s">
        <v>835</v>
      </c>
      <c r="I5" s="65" t="s">
        <v>927</v>
      </c>
      <c r="J5" s="48" t="s">
        <v>71</v>
      </c>
      <c r="K5" s="64" t="s">
        <v>924</v>
      </c>
    </row>
    <row r="6" spans="1:11" x14ac:dyDescent="0.25">
      <c r="A6" s="41"/>
      <c r="B6" s="47" t="s">
        <v>925</v>
      </c>
      <c r="C6" s="47"/>
      <c r="D6" s="47"/>
      <c r="E6" s="47"/>
      <c r="F6" s="47"/>
      <c r="G6" s="47">
        <v>14490000</v>
      </c>
      <c r="H6" s="47"/>
      <c r="I6" s="47"/>
      <c r="J6" s="47"/>
      <c r="K6" s="47"/>
    </row>
    <row r="7" spans="1:11" x14ac:dyDescent="0.25">
      <c r="A7" s="57"/>
      <c r="B7" s="57"/>
      <c r="C7" s="57"/>
      <c r="D7" s="57"/>
      <c r="E7" s="57"/>
      <c r="F7" s="57"/>
      <c r="G7" s="57"/>
      <c r="H7" s="57"/>
      <c r="I7" s="57"/>
      <c r="J7" s="57"/>
      <c r="K7" s="57"/>
    </row>
    <row r="8" spans="1:11" x14ac:dyDescent="0.25">
      <c r="A8" s="57"/>
      <c r="B8" s="57"/>
      <c r="C8" s="57"/>
      <c r="D8" s="57"/>
      <c r="E8" s="57"/>
      <c r="F8" s="57"/>
      <c r="G8" s="57"/>
      <c r="H8" s="57"/>
      <c r="I8" s="57"/>
      <c r="J8" s="57"/>
      <c r="K8" s="57"/>
    </row>
    <row r="9" spans="1:11" x14ac:dyDescent="0.25">
      <c r="A9" s="57"/>
      <c r="B9" s="57"/>
      <c r="C9" s="57"/>
      <c r="D9" s="57"/>
      <c r="E9" s="57"/>
      <c r="F9" s="57"/>
      <c r="G9" s="57"/>
      <c r="H9" s="57"/>
      <c r="I9" s="57"/>
      <c r="J9" s="57"/>
      <c r="K9" s="57"/>
    </row>
    <row r="10" spans="1:11" x14ac:dyDescent="0.25">
      <c r="A10" s="179" t="s">
        <v>928</v>
      </c>
      <c r="B10" s="180"/>
      <c r="C10" s="181"/>
      <c r="D10" s="181"/>
      <c r="E10" s="181"/>
      <c r="F10" s="181"/>
      <c r="G10" s="181"/>
      <c r="H10" s="181"/>
      <c r="I10" s="181"/>
      <c r="J10" s="181"/>
      <c r="K10" s="181"/>
    </row>
    <row r="11" spans="1:11" x14ac:dyDescent="0.25">
      <c r="A11" s="61"/>
      <c r="B11" s="67" t="s">
        <v>929</v>
      </c>
      <c r="C11" s="68"/>
      <c r="D11" s="68"/>
      <c r="E11" s="68"/>
      <c r="F11" s="68"/>
      <c r="G11" s="68"/>
      <c r="H11" s="68"/>
      <c r="I11" s="182" t="s">
        <v>1067</v>
      </c>
      <c r="J11" s="182"/>
      <c r="K11" s="183"/>
    </row>
    <row r="12" spans="1:11" ht="33.75" x14ac:dyDescent="0.25">
      <c r="A12" s="50" t="s">
        <v>0</v>
      </c>
      <c r="B12" s="16" t="s">
        <v>1</v>
      </c>
      <c r="C12" s="17" t="s">
        <v>2</v>
      </c>
      <c r="D12" s="16" t="s">
        <v>3</v>
      </c>
      <c r="E12" s="16" t="s">
        <v>4</v>
      </c>
      <c r="F12" s="16" t="s">
        <v>5</v>
      </c>
      <c r="G12" s="16" t="s">
        <v>357</v>
      </c>
      <c r="H12" s="16" t="s">
        <v>6</v>
      </c>
      <c r="I12" s="16" t="s">
        <v>926</v>
      </c>
      <c r="J12" s="16" t="s">
        <v>8</v>
      </c>
      <c r="K12" s="16" t="s">
        <v>923</v>
      </c>
    </row>
    <row r="13" spans="1:11" ht="36" x14ac:dyDescent="0.25">
      <c r="A13" s="41">
        <v>1</v>
      </c>
      <c r="B13" s="69" t="s">
        <v>928</v>
      </c>
      <c r="C13" s="69" t="s">
        <v>930</v>
      </c>
      <c r="D13" s="59">
        <v>1</v>
      </c>
      <c r="E13" s="59" t="s">
        <v>12</v>
      </c>
      <c r="F13" s="48">
        <v>4500000</v>
      </c>
      <c r="G13" s="48">
        <v>4500000</v>
      </c>
      <c r="H13" s="49" t="s">
        <v>934</v>
      </c>
      <c r="I13" s="69" t="s">
        <v>932</v>
      </c>
      <c r="J13" s="41" t="s">
        <v>71</v>
      </c>
      <c r="K13" s="40" t="s">
        <v>935</v>
      </c>
    </row>
    <row r="14" spans="1:11" ht="24" x14ac:dyDescent="0.25">
      <c r="A14" s="41">
        <v>2</v>
      </c>
      <c r="B14" s="70" t="s">
        <v>933</v>
      </c>
      <c r="C14" s="69" t="s">
        <v>931</v>
      </c>
      <c r="D14" s="59">
        <v>1</v>
      </c>
      <c r="E14" s="59" t="s">
        <v>12</v>
      </c>
      <c r="F14" s="48">
        <v>1710000</v>
      </c>
      <c r="G14" s="48">
        <v>1710000</v>
      </c>
      <c r="H14" s="49" t="s">
        <v>934</v>
      </c>
      <c r="I14" s="69" t="s">
        <v>932</v>
      </c>
      <c r="J14" s="41" t="s">
        <v>71</v>
      </c>
      <c r="K14" s="40" t="s">
        <v>936</v>
      </c>
    </row>
    <row r="15" spans="1:11" x14ac:dyDescent="0.25">
      <c r="A15" s="41" t="s">
        <v>13</v>
      </c>
      <c r="B15" s="41"/>
      <c r="C15" s="41"/>
      <c r="D15" s="41"/>
      <c r="E15" s="41"/>
      <c r="F15" s="48">
        <f>SUM(F13:F14)</f>
        <v>6210000</v>
      </c>
      <c r="G15" s="48">
        <f>SUM(G13:G14)</f>
        <v>6210000</v>
      </c>
      <c r="H15" s="49"/>
      <c r="I15" s="41"/>
      <c r="J15" s="41"/>
      <c r="K15" s="41"/>
    </row>
  </sheetData>
  <mergeCells count="4">
    <mergeCell ref="A2:K2"/>
    <mergeCell ref="A10:K10"/>
    <mergeCell ref="I3:K3"/>
    <mergeCell ref="I11:K1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5"/>
  <sheetViews>
    <sheetView workbookViewId="0">
      <selection activeCell="P6" sqref="P6"/>
    </sheetView>
  </sheetViews>
  <sheetFormatPr baseColWidth="10" defaultRowHeight="15" x14ac:dyDescent="0.25"/>
  <cols>
    <col min="1" max="1" width="4.85546875" customWidth="1"/>
    <col min="2" max="2" width="24.7109375" customWidth="1"/>
    <col min="3" max="3" width="25.28515625" customWidth="1"/>
    <col min="4" max="4" width="7.140625" customWidth="1"/>
    <col min="5" max="5" width="6.5703125" customWidth="1"/>
    <col min="6" max="6" width="12.5703125" bestFit="1" customWidth="1"/>
    <col min="9" max="9" width="9.42578125" customWidth="1"/>
    <col min="10" max="10" width="10.5703125" customWidth="1"/>
    <col min="12" max="12" width="20" customWidth="1"/>
  </cols>
  <sheetData>
    <row r="2" spans="1:16" ht="15.75" x14ac:dyDescent="0.25">
      <c r="A2" s="201" t="s">
        <v>1109</v>
      </c>
      <c r="B2" s="202"/>
      <c r="C2" s="202"/>
      <c r="D2" s="202"/>
      <c r="E2" s="202"/>
      <c r="F2" s="202"/>
      <c r="G2" s="202"/>
      <c r="H2" s="202"/>
      <c r="I2" s="202"/>
      <c r="J2" s="202"/>
      <c r="K2" s="202"/>
      <c r="L2" s="203"/>
    </row>
    <row r="3" spans="1:16" ht="15.75" x14ac:dyDescent="0.25">
      <c r="A3" s="162" t="s">
        <v>982</v>
      </c>
      <c r="B3" s="163"/>
      <c r="C3" s="163"/>
      <c r="D3" s="96"/>
      <c r="E3" s="96"/>
      <c r="F3" s="96"/>
      <c r="G3" s="96"/>
      <c r="H3" s="96"/>
      <c r="I3" s="214" t="s">
        <v>983</v>
      </c>
      <c r="J3" s="214"/>
      <c r="K3" s="214"/>
      <c r="L3" s="215"/>
    </row>
    <row r="4" spans="1:16" ht="33.75" x14ac:dyDescent="0.25">
      <c r="A4" s="16" t="s">
        <v>0</v>
      </c>
      <c r="B4" s="16" t="s">
        <v>1</v>
      </c>
      <c r="C4" s="17" t="s">
        <v>2</v>
      </c>
      <c r="D4" s="16" t="s">
        <v>3</v>
      </c>
      <c r="E4" s="16" t="s">
        <v>4</v>
      </c>
      <c r="F4" s="16" t="s">
        <v>5</v>
      </c>
      <c r="G4" s="16" t="s">
        <v>357</v>
      </c>
      <c r="H4" s="16" t="s">
        <v>6</v>
      </c>
      <c r="I4" s="16" t="s">
        <v>7</v>
      </c>
      <c r="J4" s="16" t="s">
        <v>926</v>
      </c>
      <c r="K4" s="16" t="s">
        <v>8</v>
      </c>
      <c r="L4" s="16" t="s">
        <v>10</v>
      </c>
    </row>
    <row r="5" spans="1:16" ht="22.5" x14ac:dyDescent="0.25">
      <c r="A5" s="58">
        <v>1</v>
      </c>
      <c r="B5" s="29" t="s">
        <v>262</v>
      </c>
      <c r="C5" s="3" t="s">
        <v>1143</v>
      </c>
      <c r="D5" s="21">
        <v>10</v>
      </c>
      <c r="E5" s="21" t="s">
        <v>12</v>
      </c>
      <c r="F5" s="27">
        <f>237006*16%+237006</f>
        <v>274926.96000000002</v>
      </c>
      <c r="G5" s="32">
        <f>D5*F5</f>
        <v>2749269.6</v>
      </c>
      <c r="H5" s="21" t="s">
        <v>984</v>
      </c>
      <c r="I5" s="9" t="s">
        <v>70</v>
      </c>
      <c r="J5" s="65" t="s">
        <v>973</v>
      </c>
      <c r="K5" s="21" t="s">
        <v>71</v>
      </c>
      <c r="L5" s="3" t="s">
        <v>834</v>
      </c>
      <c r="M5" s="38" t="s">
        <v>13</v>
      </c>
      <c r="N5" s="38" t="s">
        <v>13</v>
      </c>
    </row>
    <row r="6" spans="1:16" ht="22.5" x14ac:dyDescent="0.25">
      <c r="A6" s="58">
        <v>2</v>
      </c>
      <c r="B6" s="29" t="s">
        <v>305</v>
      </c>
      <c r="C6" s="3" t="s">
        <v>1143</v>
      </c>
      <c r="D6" s="21">
        <v>8</v>
      </c>
      <c r="E6" s="21" t="s">
        <v>12</v>
      </c>
      <c r="F6" s="27">
        <f>9697*16%+9697</f>
        <v>11248.52</v>
      </c>
      <c r="G6" s="32">
        <f t="shared" ref="G6:G63" si="0">D6*F6</f>
        <v>89988.160000000003</v>
      </c>
      <c r="H6" s="21" t="s">
        <v>984</v>
      </c>
      <c r="I6" s="9" t="s">
        <v>70</v>
      </c>
      <c r="J6" s="65" t="s">
        <v>973</v>
      </c>
      <c r="K6" s="21" t="s">
        <v>71</v>
      </c>
      <c r="L6" s="3" t="s">
        <v>834</v>
      </c>
      <c r="M6" s="38" t="s">
        <v>13</v>
      </c>
    </row>
    <row r="7" spans="1:16" ht="22.5" x14ac:dyDescent="0.25">
      <c r="A7" s="58">
        <v>3</v>
      </c>
      <c r="B7" s="29" t="s">
        <v>263</v>
      </c>
      <c r="C7" s="3" t="s">
        <v>1143</v>
      </c>
      <c r="D7" s="21">
        <v>5</v>
      </c>
      <c r="E7" s="21" t="s">
        <v>12</v>
      </c>
      <c r="F7" s="27">
        <f>100320*16%+100320</f>
        <v>116371.2</v>
      </c>
      <c r="G7" s="32">
        <f t="shared" si="0"/>
        <v>581856</v>
      </c>
      <c r="H7" s="21" t="s">
        <v>984</v>
      </c>
      <c r="I7" s="9" t="s">
        <v>70</v>
      </c>
      <c r="J7" s="65" t="s">
        <v>973</v>
      </c>
      <c r="K7" s="21" t="s">
        <v>71</v>
      </c>
      <c r="L7" s="3" t="s">
        <v>834</v>
      </c>
      <c r="M7" s="38" t="s">
        <v>13</v>
      </c>
    </row>
    <row r="8" spans="1:16" ht="22.5" x14ac:dyDescent="0.25">
      <c r="A8" s="58">
        <v>4</v>
      </c>
      <c r="B8" s="29" t="s">
        <v>264</v>
      </c>
      <c r="C8" s="3" t="s">
        <v>1143</v>
      </c>
      <c r="D8" s="21">
        <v>10</v>
      </c>
      <c r="E8" s="21" t="s">
        <v>12</v>
      </c>
      <c r="F8" s="27">
        <f>137940*16%+137940</f>
        <v>160010.4</v>
      </c>
      <c r="G8" s="32">
        <f t="shared" si="0"/>
        <v>1600104</v>
      </c>
      <c r="H8" s="21" t="s">
        <v>984</v>
      </c>
      <c r="I8" s="9" t="s">
        <v>70</v>
      </c>
      <c r="J8" s="65" t="s">
        <v>973</v>
      </c>
      <c r="K8" s="21" t="s">
        <v>71</v>
      </c>
      <c r="L8" s="3" t="s">
        <v>834</v>
      </c>
    </row>
    <row r="9" spans="1:16" ht="22.5" x14ac:dyDescent="0.25">
      <c r="A9" s="58">
        <v>5</v>
      </c>
      <c r="B9" s="29" t="s">
        <v>265</v>
      </c>
      <c r="C9" s="3" t="s">
        <v>1143</v>
      </c>
      <c r="D9" s="21">
        <v>2</v>
      </c>
      <c r="E9" s="21" t="s">
        <v>12</v>
      </c>
      <c r="F9" s="27">
        <f>95827*16%+95827</f>
        <v>111159.32</v>
      </c>
      <c r="G9" s="32">
        <f t="shared" si="0"/>
        <v>222318.64</v>
      </c>
      <c r="H9" s="21" t="s">
        <v>984</v>
      </c>
      <c r="I9" s="9" t="s">
        <v>70</v>
      </c>
      <c r="J9" s="65" t="s">
        <v>973</v>
      </c>
      <c r="K9" s="21" t="s">
        <v>71</v>
      </c>
      <c r="L9" s="3" t="s">
        <v>834</v>
      </c>
    </row>
    <row r="10" spans="1:16" ht="22.5" x14ac:dyDescent="0.25">
      <c r="A10" s="52">
        <v>6</v>
      </c>
      <c r="B10" s="29" t="s">
        <v>266</v>
      </c>
      <c r="C10" s="3" t="s">
        <v>1143</v>
      </c>
      <c r="D10" s="52">
        <v>6</v>
      </c>
      <c r="E10" s="1"/>
      <c r="F10" s="48">
        <f>215925*16%+215925</f>
        <v>250473</v>
      </c>
      <c r="G10" s="32">
        <f t="shared" si="0"/>
        <v>1502838</v>
      </c>
      <c r="H10" s="21" t="s">
        <v>984</v>
      </c>
      <c r="I10" s="9" t="s">
        <v>70</v>
      </c>
      <c r="J10" s="65" t="s">
        <v>973</v>
      </c>
      <c r="K10" s="21" t="s">
        <v>71</v>
      </c>
      <c r="L10" s="3" t="s">
        <v>834</v>
      </c>
    </row>
    <row r="11" spans="1:16" ht="22.5" x14ac:dyDescent="0.25">
      <c r="A11" s="52">
        <v>7</v>
      </c>
      <c r="B11" s="29" t="s">
        <v>267</v>
      </c>
      <c r="C11" s="3" t="s">
        <v>1143</v>
      </c>
      <c r="D11" s="21">
        <v>10</v>
      </c>
      <c r="E11" s="21" t="s">
        <v>12</v>
      </c>
      <c r="F11" s="27">
        <f>90037*16%+90037</f>
        <v>104442.92</v>
      </c>
      <c r="G11" s="32">
        <f t="shared" si="0"/>
        <v>1044429.2</v>
      </c>
      <c r="H11" s="21" t="s">
        <v>984</v>
      </c>
      <c r="I11" s="9" t="s">
        <v>70</v>
      </c>
      <c r="J11" s="65" t="s">
        <v>973</v>
      </c>
      <c r="K11" s="21" t="s">
        <v>71</v>
      </c>
      <c r="L11" s="3" t="s">
        <v>834</v>
      </c>
    </row>
    <row r="12" spans="1:16" ht="22.5" x14ac:dyDescent="0.25">
      <c r="A12" s="52">
        <v>8</v>
      </c>
      <c r="B12" s="29" t="s">
        <v>268</v>
      </c>
      <c r="C12" s="3" t="s">
        <v>1143</v>
      </c>
      <c r="D12" s="21">
        <v>3</v>
      </c>
      <c r="E12" s="21" t="s">
        <v>12</v>
      </c>
      <c r="F12" s="27">
        <f>106590*16%+106590</f>
        <v>123644.4</v>
      </c>
      <c r="G12" s="32">
        <f t="shared" si="0"/>
        <v>370933.19999999995</v>
      </c>
      <c r="H12" s="21" t="s">
        <v>984</v>
      </c>
      <c r="I12" s="9" t="s">
        <v>70</v>
      </c>
      <c r="J12" s="65" t="s">
        <v>973</v>
      </c>
      <c r="K12" s="21" t="s">
        <v>71</v>
      </c>
      <c r="L12" s="3" t="s">
        <v>834</v>
      </c>
      <c r="P12" t="s">
        <v>13</v>
      </c>
    </row>
    <row r="13" spans="1:16" ht="22.5" x14ac:dyDescent="0.25">
      <c r="A13" s="52">
        <v>9</v>
      </c>
      <c r="B13" s="29" t="s">
        <v>269</v>
      </c>
      <c r="C13" s="3" t="s">
        <v>1143</v>
      </c>
      <c r="D13" s="21">
        <v>10</v>
      </c>
      <c r="E13" s="21" t="s">
        <v>12</v>
      </c>
      <c r="F13" s="27">
        <f>99700*16%+99700</f>
        <v>115652</v>
      </c>
      <c r="G13" s="32">
        <f t="shared" si="0"/>
        <v>1156520</v>
      </c>
      <c r="H13" s="21" t="s">
        <v>984</v>
      </c>
      <c r="I13" s="9" t="s">
        <v>70</v>
      </c>
      <c r="J13" s="65" t="s">
        <v>973</v>
      </c>
      <c r="K13" s="21" t="s">
        <v>71</v>
      </c>
      <c r="L13" s="3" t="s">
        <v>834</v>
      </c>
    </row>
    <row r="14" spans="1:16" ht="22.5" x14ac:dyDescent="0.25">
      <c r="A14" s="52">
        <v>10</v>
      </c>
      <c r="B14" s="29" t="s">
        <v>270</v>
      </c>
      <c r="C14" s="3" t="s">
        <v>1143</v>
      </c>
      <c r="D14" s="21">
        <v>10</v>
      </c>
      <c r="E14" s="21" t="s">
        <v>12</v>
      </c>
      <c r="F14" s="27">
        <f>99700*16%+99700</f>
        <v>115652</v>
      </c>
      <c r="G14" s="32">
        <f t="shared" si="0"/>
        <v>1156520</v>
      </c>
      <c r="H14" s="21" t="s">
        <v>984</v>
      </c>
      <c r="I14" s="9" t="s">
        <v>70</v>
      </c>
      <c r="J14" s="65" t="s">
        <v>973</v>
      </c>
      <c r="K14" s="21" t="s">
        <v>71</v>
      </c>
      <c r="L14" s="3" t="s">
        <v>834</v>
      </c>
    </row>
    <row r="15" spans="1:16" ht="22.5" x14ac:dyDescent="0.25">
      <c r="A15" s="52">
        <v>11</v>
      </c>
      <c r="B15" s="29" t="s">
        <v>306</v>
      </c>
      <c r="C15" s="3" t="s">
        <v>1143</v>
      </c>
      <c r="D15" s="21">
        <v>15</v>
      </c>
      <c r="E15" s="21" t="s">
        <v>12</v>
      </c>
      <c r="F15" s="27">
        <f>58685*16%+58685</f>
        <v>68074.600000000006</v>
      </c>
      <c r="G15" s="32">
        <f t="shared" si="0"/>
        <v>1021119.0000000001</v>
      </c>
      <c r="H15" s="21" t="s">
        <v>984</v>
      </c>
      <c r="I15" s="9" t="s">
        <v>70</v>
      </c>
      <c r="J15" s="65" t="s">
        <v>973</v>
      </c>
      <c r="K15" s="21" t="s">
        <v>71</v>
      </c>
      <c r="L15" s="3" t="s">
        <v>834</v>
      </c>
    </row>
    <row r="16" spans="1:16" ht="22.5" x14ac:dyDescent="0.25">
      <c r="A16" s="52">
        <v>12</v>
      </c>
      <c r="B16" s="29" t="s">
        <v>271</v>
      </c>
      <c r="C16" s="3" t="s">
        <v>1143</v>
      </c>
      <c r="D16" s="21">
        <v>10</v>
      </c>
      <c r="E16" s="21" t="s">
        <v>12</v>
      </c>
      <c r="F16" s="27">
        <f>84210*16%+84210</f>
        <v>97683.6</v>
      </c>
      <c r="G16" s="32">
        <f t="shared" si="0"/>
        <v>976836</v>
      </c>
      <c r="H16" s="21" t="s">
        <v>984</v>
      </c>
      <c r="I16" s="9" t="s">
        <v>70</v>
      </c>
      <c r="J16" s="65" t="s">
        <v>973</v>
      </c>
      <c r="K16" s="21" t="s">
        <v>71</v>
      </c>
      <c r="L16" s="3" t="s">
        <v>834</v>
      </c>
    </row>
    <row r="17" spans="1:12" ht="22.5" x14ac:dyDescent="0.25">
      <c r="A17" s="52">
        <v>13</v>
      </c>
      <c r="B17" s="29" t="s">
        <v>272</v>
      </c>
      <c r="C17" s="3" t="s">
        <v>1143</v>
      </c>
      <c r="D17" s="21">
        <v>1</v>
      </c>
      <c r="E17" s="21" t="s">
        <v>12</v>
      </c>
      <c r="F17" s="27">
        <f>52250*16%+52250</f>
        <v>60610</v>
      </c>
      <c r="G17" s="32">
        <f t="shared" si="0"/>
        <v>60610</v>
      </c>
      <c r="H17" s="21" t="s">
        <v>984</v>
      </c>
      <c r="I17" s="9" t="s">
        <v>70</v>
      </c>
      <c r="J17" s="65" t="s">
        <v>973</v>
      </c>
      <c r="K17" s="21" t="s">
        <v>71</v>
      </c>
      <c r="L17" s="3" t="s">
        <v>834</v>
      </c>
    </row>
    <row r="18" spans="1:12" ht="22.5" x14ac:dyDescent="0.25">
      <c r="A18" s="52">
        <v>14</v>
      </c>
      <c r="B18" s="29" t="s">
        <v>273</v>
      </c>
      <c r="C18" s="3" t="s">
        <v>1143</v>
      </c>
      <c r="D18" s="23">
        <v>20</v>
      </c>
      <c r="E18" s="21" t="s">
        <v>12</v>
      </c>
      <c r="F18" s="27">
        <f>119130*16%+119130</f>
        <v>138190.79999999999</v>
      </c>
      <c r="G18" s="32">
        <f t="shared" si="0"/>
        <v>2763816</v>
      </c>
      <c r="H18" s="21" t="s">
        <v>984</v>
      </c>
      <c r="I18" s="9" t="s">
        <v>70</v>
      </c>
      <c r="J18" s="65" t="s">
        <v>973</v>
      </c>
      <c r="K18" s="21" t="s">
        <v>71</v>
      </c>
      <c r="L18" s="3" t="s">
        <v>834</v>
      </c>
    </row>
    <row r="19" spans="1:12" ht="22.5" x14ac:dyDescent="0.25">
      <c r="A19" s="52">
        <v>15</v>
      </c>
      <c r="B19" s="29" t="s">
        <v>274</v>
      </c>
      <c r="C19" s="3" t="s">
        <v>1143</v>
      </c>
      <c r="D19" s="23">
        <v>1</v>
      </c>
      <c r="E19" s="21" t="s">
        <v>12</v>
      </c>
      <c r="F19" s="27">
        <f>75240*16%+75240</f>
        <v>87278.399999999994</v>
      </c>
      <c r="G19" s="32">
        <f t="shared" si="0"/>
        <v>87278.399999999994</v>
      </c>
      <c r="H19" s="21" t="s">
        <v>984</v>
      </c>
      <c r="I19" s="9" t="s">
        <v>70</v>
      </c>
      <c r="J19" s="65" t="s">
        <v>973</v>
      </c>
      <c r="K19" s="21" t="s">
        <v>71</v>
      </c>
      <c r="L19" s="3" t="s">
        <v>834</v>
      </c>
    </row>
    <row r="20" spans="1:12" ht="22.5" x14ac:dyDescent="0.25">
      <c r="A20" s="52">
        <v>16</v>
      </c>
      <c r="B20" s="29" t="s">
        <v>275</v>
      </c>
      <c r="C20" s="3" t="s">
        <v>1143</v>
      </c>
      <c r="D20" s="23">
        <v>4</v>
      </c>
      <c r="E20" s="21" t="s">
        <v>12</v>
      </c>
      <c r="F20" s="27">
        <f>150480*16%+150480</f>
        <v>174556.79999999999</v>
      </c>
      <c r="G20" s="32">
        <f t="shared" si="0"/>
        <v>698227.19999999995</v>
      </c>
      <c r="H20" s="21" t="s">
        <v>984</v>
      </c>
      <c r="I20" s="9" t="s">
        <v>70</v>
      </c>
      <c r="J20" s="65" t="s">
        <v>973</v>
      </c>
      <c r="K20" s="21" t="s">
        <v>71</v>
      </c>
      <c r="L20" s="3" t="s">
        <v>834</v>
      </c>
    </row>
    <row r="21" spans="1:12" ht="22.5" x14ac:dyDescent="0.25">
      <c r="A21" s="52">
        <v>17</v>
      </c>
      <c r="B21" s="29" t="s">
        <v>276</v>
      </c>
      <c r="C21" s="3" t="s">
        <v>1143</v>
      </c>
      <c r="D21" s="23">
        <v>5</v>
      </c>
      <c r="E21" s="21" t="s">
        <v>12</v>
      </c>
      <c r="F21" s="27">
        <f>57475*16%+57475</f>
        <v>66671</v>
      </c>
      <c r="G21" s="32">
        <f t="shared" si="0"/>
        <v>333355</v>
      </c>
      <c r="H21" s="21" t="s">
        <v>984</v>
      </c>
      <c r="I21" s="9" t="s">
        <v>70</v>
      </c>
      <c r="J21" s="65" t="s">
        <v>973</v>
      </c>
      <c r="K21" s="21" t="s">
        <v>71</v>
      </c>
      <c r="L21" s="3" t="s">
        <v>834</v>
      </c>
    </row>
    <row r="22" spans="1:12" ht="22.5" x14ac:dyDescent="0.25">
      <c r="A22" s="52">
        <v>18</v>
      </c>
      <c r="B22" s="29" t="s">
        <v>277</v>
      </c>
      <c r="C22" s="3" t="s">
        <v>1143</v>
      </c>
      <c r="D22" s="23">
        <v>5</v>
      </c>
      <c r="E22" s="21" t="s">
        <v>12</v>
      </c>
      <c r="F22" s="27">
        <f>81150*16%+81150</f>
        <v>94134</v>
      </c>
      <c r="G22" s="32">
        <f t="shared" si="0"/>
        <v>470670</v>
      </c>
      <c r="H22" s="21" t="s">
        <v>984</v>
      </c>
      <c r="I22" s="9" t="s">
        <v>70</v>
      </c>
      <c r="J22" s="65" t="s">
        <v>973</v>
      </c>
      <c r="K22" s="21" t="s">
        <v>71</v>
      </c>
      <c r="L22" s="7" t="s">
        <v>834</v>
      </c>
    </row>
    <row r="23" spans="1:12" ht="22.5" x14ac:dyDescent="0.25">
      <c r="A23" s="52">
        <v>19</v>
      </c>
      <c r="B23" s="29" t="s">
        <v>278</v>
      </c>
      <c r="C23" s="3" t="s">
        <v>1143</v>
      </c>
      <c r="D23" s="23">
        <v>30</v>
      </c>
      <c r="E23" s="21" t="s">
        <v>12</v>
      </c>
      <c r="F23" s="27">
        <f>81510*16%+81510</f>
        <v>94551.6</v>
      </c>
      <c r="G23" s="32">
        <f t="shared" si="0"/>
        <v>2836548</v>
      </c>
      <c r="H23" s="21" t="s">
        <v>984</v>
      </c>
      <c r="I23" s="9" t="s">
        <v>70</v>
      </c>
      <c r="J23" s="65" t="s">
        <v>973</v>
      </c>
      <c r="K23" s="21" t="s">
        <v>71</v>
      </c>
      <c r="L23" s="3" t="s">
        <v>834</v>
      </c>
    </row>
    <row r="24" spans="1:12" ht="22.5" x14ac:dyDescent="0.25">
      <c r="A24" s="52">
        <v>20</v>
      </c>
      <c r="B24" s="29" t="s">
        <v>279</v>
      </c>
      <c r="C24" s="3" t="s">
        <v>1143</v>
      </c>
      <c r="D24" s="23">
        <v>50</v>
      </c>
      <c r="E24" s="21" t="s">
        <v>12</v>
      </c>
      <c r="F24" s="27">
        <f>85272*16%+85272</f>
        <v>98915.520000000004</v>
      </c>
      <c r="G24" s="32">
        <f t="shared" si="0"/>
        <v>4945776</v>
      </c>
      <c r="H24" s="21" t="s">
        <v>984</v>
      </c>
      <c r="I24" s="9" t="s">
        <v>70</v>
      </c>
      <c r="J24" s="65" t="s">
        <v>973</v>
      </c>
      <c r="K24" s="21" t="s">
        <v>71</v>
      </c>
      <c r="L24" s="3" t="s">
        <v>834</v>
      </c>
    </row>
    <row r="25" spans="1:12" ht="22.5" x14ac:dyDescent="0.25">
      <c r="A25" s="52">
        <v>21</v>
      </c>
      <c r="B25" s="29" t="s">
        <v>280</v>
      </c>
      <c r="C25" s="3" t="s">
        <v>1143</v>
      </c>
      <c r="D25" s="23">
        <v>14</v>
      </c>
      <c r="E25" s="21" t="s">
        <v>12</v>
      </c>
      <c r="F25" s="27">
        <f>144210*16%+144210</f>
        <v>167283.6</v>
      </c>
      <c r="G25" s="32">
        <f t="shared" si="0"/>
        <v>2341970.4</v>
      </c>
      <c r="H25" s="21" t="s">
        <v>984</v>
      </c>
      <c r="I25" s="9" t="s">
        <v>70</v>
      </c>
      <c r="J25" s="65" t="s">
        <v>973</v>
      </c>
      <c r="K25" s="21" t="s">
        <v>71</v>
      </c>
      <c r="L25" s="3" t="s">
        <v>834</v>
      </c>
    </row>
    <row r="26" spans="1:12" ht="22.5" x14ac:dyDescent="0.25">
      <c r="A26" s="52">
        <v>22</v>
      </c>
      <c r="B26" s="29" t="s">
        <v>281</v>
      </c>
      <c r="C26" s="3" t="s">
        <v>1143</v>
      </c>
      <c r="D26" s="23">
        <v>10</v>
      </c>
      <c r="E26" s="21" t="s">
        <v>12</v>
      </c>
      <c r="F26" s="27">
        <f>78.75*16%+78375</f>
        <v>78387.600000000006</v>
      </c>
      <c r="G26" s="32">
        <f t="shared" si="0"/>
        <v>783876</v>
      </c>
      <c r="H26" s="21" t="s">
        <v>984</v>
      </c>
      <c r="I26" s="9" t="s">
        <v>70</v>
      </c>
      <c r="J26" s="65" t="s">
        <v>973</v>
      </c>
      <c r="K26" s="21" t="s">
        <v>71</v>
      </c>
      <c r="L26" s="3" t="s">
        <v>834</v>
      </c>
    </row>
    <row r="27" spans="1:12" ht="22.5" x14ac:dyDescent="0.25">
      <c r="A27" s="52">
        <v>23</v>
      </c>
      <c r="B27" s="29" t="s">
        <v>282</v>
      </c>
      <c r="C27" s="3" t="s">
        <v>1143</v>
      </c>
      <c r="D27" s="23">
        <v>15</v>
      </c>
      <c r="E27" s="21" t="s">
        <v>12</v>
      </c>
      <c r="F27" s="27">
        <f>94050*16%+94050</f>
        <v>109098</v>
      </c>
      <c r="G27" s="32">
        <f t="shared" si="0"/>
        <v>1636470</v>
      </c>
      <c r="H27" s="21" t="s">
        <v>984</v>
      </c>
      <c r="I27" s="9" t="s">
        <v>70</v>
      </c>
      <c r="J27" s="65" t="s">
        <v>973</v>
      </c>
      <c r="K27" s="21" t="s">
        <v>71</v>
      </c>
      <c r="L27" s="3" t="s">
        <v>834</v>
      </c>
    </row>
    <row r="28" spans="1:12" ht="22.5" x14ac:dyDescent="0.25">
      <c r="A28" s="52">
        <v>25</v>
      </c>
      <c r="B28" s="29" t="s">
        <v>283</v>
      </c>
      <c r="C28" s="3" t="s">
        <v>1143</v>
      </c>
      <c r="D28" s="23">
        <v>5</v>
      </c>
      <c r="E28" s="21" t="s">
        <v>12</v>
      </c>
      <c r="F28" s="27">
        <f>125000*165%+125000</f>
        <v>331250</v>
      </c>
      <c r="G28" s="32">
        <f t="shared" si="0"/>
        <v>1656250</v>
      </c>
      <c r="H28" s="21" t="s">
        <v>984</v>
      </c>
      <c r="I28" s="9" t="s">
        <v>70</v>
      </c>
      <c r="J28" s="65" t="s">
        <v>973</v>
      </c>
      <c r="K28" s="21" t="s">
        <v>71</v>
      </c>
      <c r="L28" s="3" t="s">
        <v>834</v>
      </c>
    </row>
    <row r="29" spans="1:12" ht="22.5" x14ac:dyDescent="0.25">
      <c r="A29" s="52">
        <v>24</v>
      </c>
      <c r="B29" s="29" t="s">
        <v>284</v>
      </c>
      <c r="C29" s="3" t="s">
        <v>1143</v>
      </c>
      <c r="D29" s="23">
        <v>5</v>
      </c>
      <c r="E29" s="21" t="s">
        <v>12</v>
      </c>
      <c r="F29" s="27">
        <f>125000*16%+125000</f>
        <v>145000</v>
      </c>
      <c r="G29" s="32">
        <f t="shared" si="0"/>
        <v>725000</v>
      </c>
      <c r="H29" s="21" t="s">
        <v>984</v>
      </c>
      <c r="I29" s="9" t="s">
        <v>70</v>
      </c>
      <c r="J29" s="65" t="s">
        <v>973</v>
      </c>
      <c r="K29" s="21" t="s">
        <v>71</v>
      </c>
      <c r="L29" s="3" t="s">
        <v>834</v>
      </c>
    </row>
    <row r="30" spans="1:12" ht="22.5" x14ac:dyDescent="0.25">
      <c r="A30" s="52">
        <v>25</v>
      </c>
      <c r="B30" s="29" t="s">
        <v>285</v>
      </c>
      <c r="C30" s="3" t="s">
        <v>1143</v>
      </c>
      <c r="D30" s="23">
        <v>10</v>
      </c>
      <c r="E30" s="21" t="s">
        <v>12</v>
      </c>
      <c r="F30" s="27">
        <f>54000*16%+54000</f>
        <v>62640</v>
      </c>
      <c r="G30" s="32">
        <f t="shared" si="0"/>
        <v>626400</v>
      </c>
      <c r="H30" s="21" t="s">
        <v>984</v>
      </c>
      <c r="I30" s="9" t="s">
        <v>70</v>
      </c>
      <c r="J30" s="65" t="s">
        <v>973</v>
      </c>
      <c r="K30" s="21" t="s">
        <v>71</v>
      </c>
      <c r="L30" s="3" t="s">
        <v>834</v>
      </c>
    </row>
    <row r="31" spans="1:12" ht="22.5" x14ac:dyDescent="0.25">
      <c r="A31" s="52">
        <v>26</v>
      </c>
      <c r="B31" s="29" t="s">
        <v>286</v>
      </c>
      <c r="C31" s="3" t="s">
        <v>1143</v>
      </c>
      <c r="D31" s="23">
        <v>100</v>
      </c>
      <c r="E31" s="21" t="s">
        <v>12</v>
      </c>
      <c r="F31" s="27">
        <f>13167*16%+16167</f>
        <v>18273.72</v>
      </c>
      <c r="G31" s="32">
        <f t="shared" si="0"/>
        <v>1827372</v>
      </c>
      <c r="H31" s="21" t="s">
        <v>984</v>
      </c>
      <c r="I31" s="9" t="s">
        <v>70</v>
      </c>
      <c r="J31" s="65" t="s">
        <v>973</v>
      </c>
      <c r="K31" s="21" t="s">
        <v>71</v>
      </c>
      <c r="L31" s="3" t="s">
        <v>834</v>
      </c>
    </row>
    <row r="32" spans="1:12" ht="22.5" x14ac:dyDescent="0.25">
      <c r="A32" s="52">
        <v>27</v>
      </c>
      <c r="B32" s="29" t="s">
        <v>287</v>
      </c>
      <c r="C32" s="3" t="s">
        <v>1143</v>
      </c>
      <c r="D32" s="23">
        <v>50</v>
      </c>
      <c r="E32" s="21" t="s">
        <v>12</v>
      </c>
      <c r="F32" s="27">
        <f>10032*16%+10032</f>
        <v>11637.12</v>
      </c>
      <c r="G32" s="32">
        <f t="shared" si="0"/>
        <v>581856</v>
      </c>
      <c r="H32" s="21" t="s">
        <v>984</v>
      </c>
      <c r="I32" s="9" t="s">
        <v>70</v>
      </c>
      <c r="J32" s="65" t="s">
        <v>973</v>
      </c>
      <c r="K32" s="21" t="s">
        <v>71</v>
      </c>
      <c r="L32" s="3" t="s">
        <v>834</v>
      </c>
    </row>
    <row r="33" spans="1:12" ht="22.5" x14ac:dyDescent="0.25">
      <c r="A33" s="52">
        <v>28</v>
      </c>
      <c r="B33" s="29" t="s">
        <v>288</v>
      </c>
      <c r="C33" s="3" t="s">
        <v>1143</v>
      </c>
      <c r="D33" s="23">
        <v>100</v>
      </c>
      <c r="E33" s="21" t="s">
        <v>12</v>
      </c>
      <c r="F33" s="27">
        <f>8151*16%+8151</f>
        <v>9455.16</v>
      </c>
      <c r="G33" s="32">
        <f t="shared" si="0"/>
        <v>945516</v>
      </c>
      <c r="H33" s="21" t="s">
        <v>984</v>
      </c>
      <c r="I33" s="9" t="s">
        <v>70</v>
      </c>
      <c r="J33" s="65" t="s">
        <v>973</v>
      </c>
      <c r="K33" s="21" t="s">
        <v>71</v>
      </c>
      <c r="L33" s="3" t="s">
        <v>834</v>
      </c>
    </row>
    <row r="34" spans="1:12" ht="22.5" x14ac:dyDescent="0.25">
      <c r="A34" s="52">
        <v>29</v>
      </c>
      <c r="B34" s="29" t="s">
        <v>289</v>
      </c>
      <c r="C34" s="3" t="s">
        <v>1143</v>
      </c>
      <c r="D34" s="23">
        <v>50</v>
      </c>
      <c r="E34" s="21" t="s">
        <v>12</v>
      </c>
      <c r="F34" s="27">
        <f>8778*16%+8778</f>
        <v>10182.48</v>
      </c>
      <c r="G34" s="32">
        <f t="shared" si="0"/>
        <v>509124</v>
      </c>
      <c r="H34" s="21" t="s">
        <v>984</v>
      </c>
      <c r="I34" s="9" t="s">
        <v>70</v>
      </c>
      <c r="J34" s="65" t="s">
        <v>973</v>
      </c>
      <c r="K34" s="21" t="s">
        <v>71</v>
      </c>
      <c r="L34" s="3" t="s">
        <v>834</v>
      </c>
    </row>
    <row r="35" spans="1:12" ht="22.5" x14ac:dyDescent="0.25">
      <c r="A35" s="52">
        <v>30</v>
      </c>
      <c r="B35" s="30" t="s">
        <v>290</v>
      </c>
      <c r="C35" s="3" t="s">
        <v>1143</v>
      </c>
      <c r="D35" s="23">
        <v>40</v>
      </c>
      <c r="E35" s="3" t="s">
        <v>319</v>
      </c>
      <c r="F35" s="27">
        <f>46398*16%+46398</f>
        <v>53821.68</v>
      </c>
      <c r="G35" s="32">
        <f t="shared" si="0"/>
        <v>2152867.2000000002</v>
      </c>
      <c r="H35" s="21" t="s">
        <v>984</v>
      </c>
      <c r="I35" s="9" t="s">
        <v>70</v>
      </c>
      <c r="J35" s="65" t="s">
        <v>973</v>
      </c>
      <c r="K35" s="21" t="s">
        <v>71</v>
      </c>
      <c r="L35" s="3" t="s">
        <v>834</v>
      </c>
    </row>
    <row r="36" spans="1:12" ht="22.5" x14ac:dyDescent="0.25">
      <c r="A36" s="52">
        <v>31</v>
      </c>
      <c r="B36" s="30" t="s">
        <v>291</v>
      </c>
      <c r="C36" s="3" t="s">
        <v>1143</v>
      </c>
      <c r="D36" s="21">
        <v>20</v>
      </c>
      <c r="E36" s="3" t="s">
        <v>319</v>
      </c>
      <c r="F36" s="27">
        <f>63954*16%+63954</f>
        <v>74186.64</v>
      </c>
      <c r="G36" s="32">
        <f t="shared" si="0"/>
        <v>1483732.8</v>
      </c>
      <c r="H36" s="21" t="s">
        <v>984</v>
      </c>
      <c r="I36" s="9" t="s">
        <v>70</v>
      </c>
      <c r="J36" s="65" t="s">
        <v>973</v>
      </c>
      <c r="K36" s="21" t="s">
        <v>71</v>
      </c>
      <c r="L36" s="3" t="s">
        <v>834</v>
      </c>
    </row>
    <row r="37" spans="1:12" ht="22.5" x14ac:dyDescent="0.25">
      <c r="A37" s="52">
        <v>32</v>
      </c>
      <c r="B37" s="30" t="s">
        <v>292</v>
      </c>
      <c r="C37" s="3" t="s">
        <v>1143</v>
      </c>
      <c r="D37" s="21">
        <v>60</v>
      </c>
      <c r="E37" s="3" t="s">
        <v>319</v>
      </c>
      <c r="F37" s="27">
        <f>68970*16%+68970</f>
        <v>80005.2</v>
      </c>
      <c r="G37" s="32">
        <f t="shared" si="0"/>
        <v>4800312</v>
      </c>
      <c r="H37" s="21" t="s">
        <v>984</v>
      </c>
      <c r="I37" s="9" t="s">
        <v>70</v>
      </c>
      <c r="J37" s="65" t="s">
        <v>973</v>
      </c>
      <c r="K37" s="21" t="s">
        <v>71</v>
      </c>
      <c r="L37" s="3" t="s">
        <v>834</v>
      </c>
    </row>
    <row r="38" spans="1:12" ht="22.5" x14ac:dyDescent="0.25">
      <c r="A38" s="52">
        <v>33</v>
      </c>
      <c r="B38" s="30" t="s">
        <v>293</v>
      </c>
      <c r="C38" s="3" t="s">
        <v>1143</v>
      </c>
      <c r="D38" s="21">
        <v>10</v>
      </c>
      <c r="E38" s="20" t="s">
        <v>12</v>
      </c>
      <c r="F38" s="27">
        <f>110007*16%+110007</f>
        <v>127608.12</v>
      </c>
      <c r="G38" s="32">
        <f t="shared" si="0"/>
        <v>1276081.2</v>
      </c>
      <c r="H38" s="21" t="s">
        <v>984</v>
      </c>
      <c r="I38" s="9" t="s">
        <v>70</v>
      </c>
      <c r="J38" s="65" t="s">
        <v>973</v>
      </c>
      <c r="K38" s="21" t="s">
        <v>71</v>
      </c>
      <c r="L38" s="3" t="s">
        <v>834</v>
      </c>
    </row>
    <row r="39" spans="1:12" ht="22.5" x14ac:dyDescent="0.25">
      <c r="A39" s="52">
        <v>34</v>
      </c>
      <c r="B39" s="30" t="s">
        <v>308</v>
      </c>
      <c r="C39" s="3" t="s">
        <v>1143</v>
      </c>
      <c r="D39" s="21">
        <v>20</v>
      </c>
      <c r="E39" s="21" t="s">
        <v>212</v>
      </c>
      <c r="F39" s="27">
        <f>215925*16%+215925</f>
        <v>250473</v>
      </c>
      <c r="G39" s="32">
        <f t="shared" si="0"/>
        <v>5009460</v>
      </c>
      <c r="H39" s="21" t="s">
        <v>984</v>
      </c>
      <c r="I39" s="9" t="s">
        <v>70</v>
      </c>
      <c r="J39" s="65" t="s">
        <v>973</v>
      </c>
      <c r="K39" s="21" t="s">
        <v>71</v>
      </c>
      <c r="L39" s="3" t="s">
        <v>834</v>
      </c>
    </row>
    <row r="40" spans="1:12" ht="22.5" x14ac:dyDescent="0.25">
      <c r="A40" s="52">
        <v>35</v>
      </c>
      <c r="B40" s="30" t="s">
        <v>309</v>
      </c>
      <c r="C40" s="3" t="s">
        <v>1143</v>
      </c>
      <c r="D40" s="21">
        <v>17</v>
      </c>
      <c r="E40" s="21" t="s">
        <v>212</v>
      </c>
      <c r="F40" s="27">
        <f t="shared" ref="F40:F42" si="1">215925*16%+215925</f>
        <v>250473</v>
      </c>
      <c r="G40" s="32">
        <f t="shared" si="0"/>
        <v>4258041</v>
      </c>
      <c r="H40" s="21" t="s">
        <v>984</v>
      </c>
      <c r="I40" s="9" t="s">
        <v>70</v>
      </c>
      <c r="J40" s="65" t="s">
        <v>973</v>
      </c>
      <c r="K40" s="21" t="s">
        <v>71</v>
      </c>
      <c r="L40" s="3" t="s">
        <v>834</v>
      </c>
    </row>
    <row r="41" spans="1:12" ht="22.5" x14ac:dyDescent="0.25">
      <c r="A41" s="52">
        <v>36</v>
      </c>
      <c r="B41" s="30" t="s">
        <v>310</v>
      </c>
      <c r="C41" s="3" t="s">
        <v>1143</v>
      </c>
      <c r="D41" s="21">
        <v>20</v>
      </c>
      <c r="E41" s="21" t="s">
        <v>212</v>
      </c>
      <c r="F41" s="27">
        <f t="shared" si="1"/>
        <v>250473</v>
      </c>
      <c r="G41" s="32">
        <f t="shared" si="0"/>
        <v>5009460</v>
      </c>
      <c r="H41" s="21" t="s">
        <v>984</v>
      </c>
      <c r="I41" s="9" t="s">
        <v>70</v>
      </c>
      <c r="J41" s="65" t="s">
        <v>973</v>
      </c>
      <c r="K41" s="21" t="s">
        <v>71</v>
      </c>
      <c r="L41" s="3" t="s">
        <v>834</v>
      </c>
    </row>
    <row r="42" spans="1:12" ht="22.5" x14ac:dyDescent="0.25">
      <c r="A42" s="52">
        <v>37</v>
      </c>
      <c r="B42" s="30" t="s">
        <v>307</v>
      </c>
      <c r="C42" s="3" t="s">
        <v>1143</v>
      </c>
      <c r="D42" s="21">
        <v>20</v>
      </c>
      <c r="E42" s="21" t="s">
        <v>212</v>
      </c>
      <c r="F42" s="27">
        <f t="shared" si="1"/>
        <v>250473</v>
      </c>
      <c r="G42" s="32">
        <f t="shared" si="0"/>
        <v>5009460</v>
      </c>
      <c r="H42" s="21" t="s">
        <v>984</v>
      </c>
      <c r="I42" s="9" t="s">
        <v>70</v>
      </c>
      <c r="J42" s="65" t="s">
        <v>973</v>
      </c>
      <c r="K42" s="21" t="s">
        <v>71</v>
      </c>
      <c r="L42" s="3" t="s">
        <v>834</v>
      </c>
    </row>
    <row r="43" spans="1:12" ht="22.5" x14ac:dyDescent="0.25">
      <c r="A43" s="52">
        <v>38</v>
      </c>
      <c r="B43" s="30" t="s">
        <v>294</v>
      </c>
      <c r="C43" s="3" t="s">
        <v>1143</v>
      </c>
      <c r="D43" s="21">
        <v>20</v>
      </c>
      <c r="E43" s="3" t="s">
        <v>319</v>
      </c>
      <c r="F43" s="27">
        <f>63954*16%+63954</f>
        <v>74186.64</v>
      </c>
      <c r="G43" s="32">
        <f t="shared" si="0"/>
        <v>1483732.8</v>
      </c>
      <c r="H43" s="21" t="s">
        <v>984</v>
      </c>
      <c r="I43" s="9" t="s">
        <v>70</v>
      </c>
      <c r="J43" s="65" t="s">
        <v>973</v>
      </c>
      <c r="K43" s="21" t="s">
        <v>71</v>
      </c>
      <c r="L43" s="3" t="s">
        <v>834</v>
      </c>
    </row>
    <row r="44" spans="1:12" ht="22.5" x14ac:dyDescent="0.25">
      <c r="A44" s="52">
        <v>39</v>
      </c>
      <c r="B44" s="30" t="s">
        <v>295</v>
      </c>
      <c r="C44" s="3" t="s">
        <v>1143</v>
      </c>
      <c r="D44" s="21">
        <v>10</v>
      </c>
      <c r="E44" s="21" t="s">
        <v>12</v>
      </c>
      <c r="F44" s="27">
        <f>56839*16%+56839</f>
        <v>65933.240000000005</v>
      </c>
      <c r="G44" s="32">
        <f t="shared" si="0"/>
        <v>659332.4</v>
      </c>
      <c r="H44" s="21" t="s">
        <v>984</v>
      </c>
      <c r="I44" s="9" t="s">
        <v>70</v>
      </c>
      <c r="J44" s="65" t="s">
        <v>973</v>
      </c>
      <c r="K44" s="21" t="s">
        <v>71</v>
      </c>
      <c r="L44" s="3" t="s">
        <v>834</v>
      </c>
    </row>
    <row r="45" spans="1:12" ht="22.5" x14ac:dyDescent="0.25">
      <c r="A45" s="52">
        <v>10</v>
      </c>
      <c r="B45" s="30" t="s">
        <v>296</v>
      </c>
      <c r="C45" s="3" t="s">
        <v>1143</v>
      </c>
      <c r="D45" s="21">
        <v>2</v>
      </c>
      <c r="E45" s="21" t="s">
        <v>12</v>
      </c>
      <c r="F45" s="27">
        <f>74914*16%+74914</f>
        <v>86900.24</v>
      </c>
      <c r="G45" s="32">
        <f t="shared" si="0"/>
        <v>173800.48</v>
      </c>
      <c r="H45" s="21" t="s">
        <v>984</v>
      </c>
      <c r="I45" s="9" t="s">
        <v>70</v>
      </c>
      <c r="J45" s="65" t="s">
        <v>973</v>
      </c>
      <c r="K45" s="21" t="s">
        <v>71</v>
      </c>
      <c r="L45" s="3" t="s">
        <v>834</v>
      </c>
    </row>
    <row r="46" spans="1:12" ht="22.5" x14ac:dyDescent="0.25">
      <c r="A46" s="52">
        <v>40</v>
      </c>
      <c r="B46" s="30" t="s">
        <v>297</v>
      </c>
      <c r="C46" s="3" t="s">
        <v>1143</v>
      </c>
      <c r="D46" s="21">
        <v>2</v>
      </c>
      <c r="E46" s="21" t="s">
        <v>12</v>
      </c>
      <c r="F46" s="27">
        <f>63526*16%+63526</f>
        <v>73690.16</v>
      </c>
      <c r="G46" s="32">
        <f t="shared" si="0"/>
        <v>147380.32</v>
      </c>
      <c r="H46" s="21" t="s">
        <v>984</v>
      </c>
      <c r="I46" s="9" t="s">
        <v>70</v>
      </c>
      <c r="J46" s="65" t="s">
        <v>973</v>
      </c>
      <c r="K46" s="21" t="s">
        <v>71</v>
      </c>
      <c r="L46" s="3" t="s">
        <v>834</v>
      </c>
    </row>
    <row r="47" spans="1:12" ht="22.5" x14ac:dyDescent="0.25">
      <c r="A47" s="52">
        <v>41</v>
      </c>
      <c r="B47" s="30" t="s">
        <v>298</v>
      </c>
      <c r="C47" s="3" t="s">
        <v>1143</v>
      </c>
      <c r="D47" s="21">
        <v>7</v>
      </c>
      <c r="E47" s="21" t="s">
        <v>12</v>
      </c>
      <c r="F47" s="27">
        <f>145328*16%+145328</f>
        <v>168580.48000000001</v>
      </c>
      <c r="G47" s="32">
        <f t="shared" si="0"/>
        <v>1180063.3600000001</v>
      </c>
      <c r="H47" s="21" t="s">
        <v>984</v>
      </c>
      <c r="I47" s="9" t="s">
        <v>70</v>
      </c>
      <c r="J47" s="65" t="s">
        <v>973</v>
      </c>
      <c r="K47" s="21" t="s">
        <v>71</v>
      </c>
      <c r="L47" s="3" t="s">
        <v>834</v>
      </c>
    </row>
    <row r="48" spans="1:12" ht="22.5" x14ac:dyDescent="0.25">
      <c r="A48" s="52">
        <v>42</v>
      </c>
      <c r="B48" s="30" t="s">
        <v>299</v>
      </c>
      <c r="C48" s="3" t="s">
        <v>1143</v>
      </c>
      <c r="D48" s="21">
        <v>3</v>
      </c>
      <c r="E48" s="21" t="s">
        <v>12</v>
      </c>
      <c r="F48" s="27">
        <f>547249*16%+547249</f>
        <v>634808.84</v>
      </c>
      <c r="G48" s="32">
        <f t="shared" si="0"/>
        <v>1904426.52</v>
      </c>
      <c r="H48" s="21" t="s">
        <v>984</v>
      </c>
      <c r="I48" s="9" t="s">
        <v>70</v>
      </c>
      <c r="J48" s="65" t="s">
        <v>973</v>
      </c>
      <c r="K48" s="21" t="s">
        <v>71</v>
      </c>
      <c r="L48" s="3" t="s">
        <v>834</v>
      </c>
    </row>
    <row r="49" spans="1:12" ht="22.5" x14ac:dyDescent="0.25">
      <c r="A49" s="52">
        <v>43</v>
      </c>
      <c r="B49" s="30" t="s">
        <v>300</v>
      </c>
      <c r="C49" s="3" t="s">
        <v>1143</v>
      </c>
      <c r="D49" s="21">
        <v>5</v>
      </c>
      <c r="E49" s="21" t="s">
        <v>12</v>
      </c>
      <c r="F49" s="27">
        <f>78375*16%+78375</f>
        <v>90915</v>
      </c>
      <c r="G49" s="32">
        <f t="shared" si="0"/>
        <v>454575</v>
      </c>
      <c r="H49" s="21" t="s">
        <v>984</v>
      </c>
      <c r="I49" s="9" t="s">
        <v>70</v>
      </c>
      <c r="J49" s="65" t="s">
        <v>973</v>
      </c>
      <c r="K49" s="21" t="s">
        <v>71</v>
      </c>
      <c r="L49" s="3" t="s">
        <v>834</v>
      </c>
    </row>
    <row r="50" spans="1:12" ht="22.5" x14ac:dyDescent="0.25">
      <c r="A50" s="52">
        <v>44</v>
      </c>
      <c r="B50" s="30" t="s">
        <v>301</v>
      </c>
      <c r="C50" s="3" t="s">
        <v>1143</v>
      </c>
      <c r="D50" s="21">
        <v>3</v>
      </c>
      <c r="E50" s="21" t="s">
        <v>12</v>
      </c>
      <c r="F50" s="27">
        <f>78000*16%+78000</f>
        <v>90480</v>
      </c>
      <c r="G50" s="32">
        <f t="shared" si="0"/>
        <v>271440</v>
      </c>
      <c r="H50" s="21" t="s">
        <v>984</v>
      </c>
      <c r="I50" s="9" t="s">
        <v>70</v>
      </c>
      <c r="J50" s="65" t="s">
        <v>973</v>
      </c>
      <c r="K50" s="21" t="s">
        <v>71</v>
      </c>
      <c r="L50" s="3" t="s">
        <v>834</v>
      </c>
    </row>
    <row r="51" spans="1:12" ht="22.5" x14ac:dyDescent="0.25">
      <c r="A51" s="52">
        <v>45</v>
      </c>
      <c r="B51" s="30" t="s">
        <v>302</v>
      </c>
      <c r="C51" s="3" t="s">
        <v>1143</v>
      </c>
      <c r="D51" s="21">
        <v>3</v>
      </c>
      <c r="E51" s="21" t="s">
        <v>12</v>
      </c>
      <c r="F51" s="27">
        <f>78000*16%+78000</f>
        <v>90480</v>
      </c>
      <c r="G51" s="32">
        <f t="shared" si="0"/>
        <v>271440</v>
      </c>
      <c r="H51" s="21" t="s">
        <v>984</v>
      </c>
      <c r="I51" s="9" t="s">
        <v>70</v>
      </c>
      <c r="J51" s="65" t="s">
        <v>973</v>
      </c>
      <c r="K51" s="21" t="s">
        <v>71</v>
      </c>
      <c r="L51" s="3" t="s">
        <v>834</v>
      </c>
    </row>
    <row r="52" spans="1:12" ht="22.5" x14ac:dyDescent="0.25">
      <c r="A52" s="52">
        <v>46</v>
      </c>
      <c r="B52" s="30" t="s">
        <v>303</v>
      </c>
      <c r="C52" s="3" t="s">
        <v>1143</v>
      </c>
      <c r="D52" s="21">
        <v>3</v>
      </c>
      <c r="E52" s="21" t="s">
        <v>12</v>
      </c>
      <c r="F52" s="27">
        <f>78000*16%+78000</f>
        <v>90480</v>
      </c>
      <c r="G52" s="32">
        <f t="shared" si="0"/>
        <v>271440</v>
      </c>
      <c r="H52" s="21" t="s">
        <v>984</v>
      </c>
      <c r="I52" s="9" t="s">
        <v>70</v>
      </c>
      <c r="J52" s="65" t="s">
        <v>973</v>
      </c>
      <c r="K52" s="21" t="s">
        <v>71</v>
      </c>
      <c r="L52" s="3" t="s">
        <v>834</v>
      </c>
    </row>
    <row r="53" spans="1:12" ht="22.5" x14ac:dyDescent="0.25">
      <c r="A53" s="52">
        <v>47</v>
      </c>
      <c r="B53" s="30" t="s">
        <v>304</v>
      </c>
      <c r="C53" s="3" t="s">
        <v>1143</v>
      </c>
      <c r="D53" s="21">
        <v>3</v>
      </c>
      <c r="E53" s="21" t="s">
        <v>12</v>
      </c>
      <c r="F53" s="27">
        <f>78000*16%+78000</f>
        <v>90480</v>
      </c>
      <c r="G53" s="32">
        <f t="shared" si="0"/>
        <v>271440</v>
      </c>
      <c r="H53" s="21" t="s">
        <v>984</v>
      </c>
      <c r="I53" s="9" t="s">
        <v>70</v>
      </c>
      <c r="J53" s="65" t="s">
        <v>973</v>
      </c>
      <c r="K53" s="21" t="s">
        <v>71</v>
      </c>
      <c r="L53" s="3" t="s">
        <v>834</v>
      </c>
    </row>
    <row r="54" spans="1:12" ht="22.5" x14ac:dyDescent="0.25">
      <c r="A54" s="52">
        <v>48</v>
      </c>
      <c r="B54" s="5" t="s">
        <v>311</v>
      </c>
      <c r="C54" s="3" t="s">
        <v>1143</v>
      </c>
      <c r="D54" s="21">
        <v>5</v>
      </c>
      <c r="E54" s="21" t="s">
        <v>12</v>
      </c>
      <c r="F54" s="27">
        <v>95000</v>
      </c>
      <c r="G54" s="32">
        <f t="shared" si="0"/>
        <v>475000</v>
      </c>
      <c r="H54" s="21" t="s">
        <v>984</v>
      </c>
      <c r="I54" s="9" t="s">
        <v>70</v>
      </c>
      <c r="J54" s="65" t="s">
        <v>973</v>
      </c>
      <c r="K54" s="21" t="s">
        <v>71</v>
      </c>
      <c r="L54" s="3" t="s">
        <v>834</v>
      </c>
    </row>
    <row r="55" spans="1:12" ht="22.5" x14ac:dyDescent="0.25">
      <c r="A55" s="52">
        <v>49</v>
      </c>
      <c r="B55" s="30" t="s">
        <v>312</v>
      </c>
      <c r="C55" s="3" t="s">
        <v>1143</v>
      </c>
      <c r="D55" s="21">
        <v>5</v>
      </c>
      <c r="E55" s="21" t="s">
        <v>12</v>
      </c>
      <c r="F55" s="27">
        <v>95000</v>
      </c>
      <c r="G55" s="32">
        <f t="shared" si="0"/>
        <v>475000</v>
      </c>
      <c r="H55" s="21" t="s">
        <v>984</v>
      </c>
      <c r="I55" s="9" t="s">
        <v>70</v>
      </c>
      <c r="J55" s="65" t="s">
        <v>973</v>
      </c>
      <c r="K55" s="21" t="s">
        <v>71</v>
      </c>
      <c r="L55" s="3" t="s">
        <v>834</v>
      </c>
    </row>
    <row r="56" spans="1:12" ht="22.5" x14ac:dyDescent="0.25">
      <c r="A56" s="52">
        <v>50</v>
      </c>
      <c r="B56" s="30" t="s">
        <v>313</v>
      </c>
      <c r="C56" s="3" t="s">
        <v>1143</v>
      </c>
      <c r="D56" s="21">
        <v>11</v>
      </c>
      <c r="E56" s="21" t="s">
        <v>12</v>
      </c>
      <c r="F56" s="27">
        <v>65000</v>
      </c>
      <c r="G56" s="32">
        <f t="shared" si="0"/>
        <v>715000</v>
      </c>
      <c r="H56" s="21" t="s">
        <v>984</v>
      </c>
      <c r="I56" s="9" t="s">
        <v>70</v>
      </c>
      <c r="J56" s="65" t="s">
        <v>973</v>
      </c>
      <c r="K56" s="21" t="s">
        <v>71</v>
      </c>
      <c r="L56" s="3" t="s">
        <v>834</v>
      </c>
    </row>
    <row r="57" spans="1:12" ht="22.5" x14ac:dyDescent="0.25">
      <c r="A57" s="52">
        <v>54</v>
      </c>
      <c r="B57" s="30" t="s">
        <v>314</v>
      </c>
      <c r="C57" s="3" t="s">
        <v>1143</v>
      </c>
      <c r="D57" s="21">
        <v>202</v>
      </c>
      <c r="E57" s="21" t="s">
        <v>12</v>
      </c>
      <c r="F57" s="27">
        <v>9500</v>
      </c>
      <c r="G57" s="32">
        <f t="shared" si="0"/>
        <v>1919000</v>
      </c>
      <c r="H57" s="21" t="s">
        <v>984</v>
      </c>
      <c r="I57" s="9" t="s">
        <v>70</v>
      </c>
      <c r="J57" s="65" t="s">
        <v>973</v>
      </c>
      <c r="K57" s="21" t="s">
        <v>71</v>
      </c>
      <c r="L57" s="3" t="s">
        <v>834</v>
      </c>
    </row>
    <row r="58" spans="1:12" ht="22.5" x14ac:dyDescent="0.25">
      <c r="A58" s="52">
        <v>51</v>
      </c>
      <c r="B58" s="30" t="s">
        <v>315</v>
      </c>
      <c r="C58" s="3" t="s">
        <v>1143</v>
      </c>
      <c r="D58" s="21">
        <v>5</v>
      </c>
      <c r="E58" s="21" t="s">
        <v>12</v>
      </c>
      <c r="F58" s="27">
        <f>165000*4.5%+165000</f>
        <v>172425</v>
      </c>
      <c r="G58" s="32">
        <f t="shared" si="0"/>
        <v>862125</v>
      </c>
      <c r="H58" s="21" t="s">
        <v>984</v>
      </c>
      <c r="I58" s="9" t="s">
        <v>70</v>
      </c>
      <c r="J58" s="65" t="s">
        <v>973</v>
      </c>
      <c r="K58" s="21" t="s">
        <v>71</v>
      </c>
      <c r="L58" s="3" t="s">
        <v>834</v>
      </c>
    </row>
    <row r="59" spans="1:12" ht="22.5" x14ac:dyDescent="0.25">
      <c r="A59" s="52">
        <v>52</v>
      </c>
      <c r="B59" s="30" t="s">
        <v>316</v>
      </c>
      <c r="C59" s="3" t="s">
        <v>1143</v>
      </c>
      <c r="D59" s="21">
        <v>5</v>
      </c>
      <c r="E59" s="21" t="s">
        <v>12</v>
      </c>
      <c r="F59" s="27">
        <v>145000</v>
      </c>
      <c r="G59" s="32">
        <f t="shared" si="0"/>
        <v>725000</v>
      </c>
      <c r="H59" s="21" t="s">
        <v>984</v>
      </c>
      <c r="I59" s="9" t="s">
        <v>70</v>
      </c>
      <c r="J59" s="65" t="s">
        <v>973</v>
      </c>
      <c r="K59" s="21" t="s">
        <v>71</v>
      </c>
      <c r="L59" s="3" t="s">
        <v>834</v>
      </c>
    </row>
    <row r="60" spans="1:12" ht="22.5" x14ac:dyDescent="0.25">
      <c r="A60" s="52">
        <v>53</v>
      </c>
      <c r="B60" s="30" t="s">
        <v>317</v>
      </c>
      <c r="C60" s="3" t="s">
        <v>1143</v>
      </c>
      <c r="D60" s="21">
        <v>5</v>
      </c>
      <c r="E60" s="21" t="s">
        <v>12</v>
      </c>
      <c r="F60" s="27">
        <f>133865-11000+3200+3000</f>
        <v>129065</v>
      </c>
      <c r="G60" s="32">
        <f t="shared" si="0"/>
        <v>645325</v>
      </c>
      <c r="H60" s="21" t="s">
        <v>984</v>
      </c>
      <c r="I60" s="9" t="s">
        <v>70</v>
      </c>
      <c r="J60" s="65" t="s">
        <v>973</v>
      </c>
      <c r="K60" s="21" t="s">
        <v>71</v>
      </c>
      <c r="L60" s="3" t="s">
        <v>834</v>
      </c>
    </row>
    <row r="61" spans="1:12" ht="22.5" x14ac:dyDescent="0.25">
      <c r="A61" s="52">
        <v>54</v>
      </c>
      <c r="B61" s="30" t="s">
        <v>318</v>
      </c>
      <c r="C61" s="3" t="s">
        <v>1143</v>
      </c>
      <c r="D61" s="21">
        <v>83</v>
      </c>
      <c r="E61" s="21" t="s">
        <v>12</v>
      </c>
      <c r="F61" s="27">
        <v>13000</v>
      </c>
      <c r="G61" s="32">
        <f t="shared" si="0"/>
        <v>1079000</v>
      </c>
      <c r="H61" s="21" t="s">
        <v>984</v>
      </c>
      <c r="I61" s="9" t="s">
        <v>70</v>
      </c>
      <c r="J61" s="65" t="s">
        <v>973</v>
      </c>
      <c r="K61" s="21" t="s">
        <v>71</v>
      </c>
      <c r="L61" s="3" t="s">
        <v>834</v>
      </c>
    </row>
    <row r="62" spans="1:12" ht="22.5" x14ac:dyDescent="0.25">
      <c r="A62" s="52">
        <v>55</v>
      </c>
      <c r="B62" s="5" t="s">
        <v>356</v>
      </c>
      <c r="C62" s="3" t="s">
        <v>1143</v>
      </c>
      <c r="D62" s="20">
        <v>3</v>
      </c>
      <c r="E62" s="20" t="s">
        <v>12</v>
      </c>
      <c r="F62" s="27">
        <v>35000</v>
      </c>
      <c r="G62" s="32">
        <f t="shared" si="0"/>
        <v>105000</v>
      </c>
      <c r="H62" s="21" t="s">
        <v>984</v>
      </c>
      <c r="I62" s="9" t="s">
        <v>70</v>
      </c>
      <c r="J62" s="65" t="s">
        <v>973</v>
      </c>
      <c r="K62" s="21" t="s">
        <v>71</v>
      </c>
      <c r="L62" s="3" t="s">
        <v>834</v>
      </c>
    </row>
    <row r="63" spans="1:12" ht="22.5" x14ac:dyDescent="0.25">
      <c r="A63" s="52">
        <v>56</v>
      </c>
      <c r="B63" s="30" t="s">
        <v>389</v>
      </c>
      <c r="C63" s="3" t="s">
        <v>1143</v>
      </c>
      <c r="D63" s="20">
        <v>7</v>
      </c>
      <c r="E63" s="5"/>
      <c r="F63" s="27">
        <f>75000+12000</f>
        <v>87000</v>
      </c>
      <c r="G63" s="32">
        <f t="shared" si="0"/>
        <v>609000</v>
      </c>
      <c r="H63" s="21" t="s">
        <v>984</v>
      </c>
      <c r="I63" s="5"/>
      <c r="J63" s="65" t="s">
        <v>973</v>
      </c>
      <c r="K63" s="5"/>
      <c r="L63" s="3" t="s">
        <v>834</v>
      </c>
    </row>
    <row r="64" spans="1:12" x14ac:dyDescent="0.25">
      <c r="B64" s="31"/>
      <c r="C64" s="15"/>
      <c r="D64" s="15"/>
      <c r="E64" s="15"/>
      <c r="F64" s="39"/>
      <c r="G64" s="95" t="s">
        <v>13</v>
      </c>
      <c r="H64" s="15"/>
      <c r="I64" s="15"/>
      <c r="J64" s="15"/>
      <c r="K64" s="15"/>
      <c r="L64" s="15"/>
    </row>
    <row r="65" spans="2:12" x14ac:dyDescent="0.25">
      <c r="B65" s="31"/>
      <c r="C65" s="15"/>
      <c r="D65" s="15"/>
      <c r="E65" s="15"/>
      <c r="F65" s="15"/>
      <c r="G65" s="15"/>
      <c r="H65" s="15"/>
      <c r="I65" s="15"/>
      <c r="J65" s="15"/>
      <c r="K65" s="15"/>
      <c r="L65" s="15"/>
    </row>
    <row r="66" spans="2:12" x14ac:dyDescent="0.25">
      <c r="B66" s="31"/>
      <c r="C66" s="15"/>
      <c r="D66" s="15"/>
      <c r="E66" s="15"/>
      <c r="F66" s="15"/>
      <c r="G66" s="15"/>
      <c r="H66" s="15"/>
      <c r="I66" s="15"/>
      <c r="J66" s="15"/>
      <c r="K66" s="15"/>
      <c r="L66" s="15"/>
    </row>
    <row r="67" spans="2:12" x14ac:dyDescent="0.25">
      <c r="B67" s="31"/>
      <c r="C67" s="15"/>
      <c r="D67" s="15"/>
      <c r="E67" s="15"/>
      <c r="F67" s="15"/>
      <c r="G67" s="15"/>
      <c r="H67" s="15"/>
      <c r="I67" s="15"/>
      <c r="J67" s="15"/>
      <c r="K67" s="15"/>
      <c r="L67" s="15"/>
    </row>
    <row r="68" spans="2:12" x14ac:dyDescent="0.25">
      <c r="B68" s="31"/>
      <c r="C68" s="15"/>
      <c r="D68" s="15"/>
      <c r="E68" s="15"/>
      <c r="F68" s="15"/>
      <c r="G68" s="15"/>
      <c r="H68" s="15"/>
      <c r="I68" s="15"/>
      <c r="J68" s="15"/>
      <c r="K68" s="15"/>
      <c r="L68" s="15"/>
    </row>
    <row r="69" spans="2:12" x14ac:dyDescent="0.25">
      <c r="B69" s="31"/>
      <c r="C69" s="15"/>
      <c r="D69" s="15"/>
      <c r="E69" s="15"/>
      <c r="F69" s="15"/>
      <c r="G69" s="15"/>
      <c r="H69" s="15"/>
      <c r="I69" s="15"/>
      <c r="J69" s="15"/>
      <c r="K69" s="15"/>
      <c r="L69" s="15"/>
    </row>
    <row r="70" spans="2:12" x14ac:dyDescent="0.25">
      <c r="B70" s="31"/>
      <c r="C70" s="15"/>
      <c r="D70" s="15"/>
      <c r="E70" s="15"/>
      <c r="F70" s="15"/>
      <c r="G70" s="15"/>
      <c r="H70" s="15"/>
      <c r="I70" s="15"/>
      <c r="J70" s="15"/>
      <c r="K70" s="15"/>
      <c r="L70" s="15"/>
    </row>
    <row r="71" spans="2:12" x14ac:dyDescent="0.25">
      <c r="B71" s="31"/>
      <c r="C71" s="15"/>
      <c r="D71" s="15"/>
      <c r="E71" s="15"/>
      <c r="F71" s="15"/>
      <c r="G71" s="15"/>
      <c r="H71" s="15"/>
      <c r="I71" s="15"/>
      <c r="J71" s="15"/>
      <c r="K71" s="15"/>
      <c r="L71" s="15"/>
    </row>
    <row r="72" spans="2:12" x14ac:dyDescent="0.25">
      <c r="B72" s="31"/>
      <c r="C72" s="15"/>
      <c r="D72" s="15"/>
      <c r="E72" s="15"/>
      <c r="F72" s="15"/>
      <c r="G72" s="15"/>
      <c r="H72" s="15"/>
      <c r="I72" s="15"/>
      <c r="J72" s="15"/>
      <c r="K72" s="15"/>
      <c r="L72" s="15"/>
    </row>
    <row r="73" spans="2:12" x14ac:dyDescent="0.25">
      <c r="B73" s="31"/>
      <c r="C73" s="15"/>
      <c r="D73" s="15"/>
      <c r="E73" s="15"/>
      <c r="F73" s="15"/>
      <c r="G73" s="15"/>
      <c r="H73" s="15"/>
      <c r="I73" s="15"/>
      <c r="J73" s="15"/>
      <c r="K73" s="15"/>
      <c r="L73" s="15"/>
    </row>
    <row r="74" spans="2:12" x14ac:dyDescent="0.25">
      <c r="B74" s="31"/>
      <c r="C74" s="15"/>
      <c r="D74" s="15"/>
      <c r="E74" s="15"/>
      <c r="F74" s="15"/>
      <c r="G74" s="15"/>
      <c r="H74" s="15"/>
      <c r="I74" s="15"/>
      <c r="J74" s="15"/>
      <c r="K74" s="15"/>
      <c r="L74" s="15"/>
    </row>
    <row r="75" spans="2:12" x14ac:dyDescent="0.25">
      <c r="B75" s="31"/>
      <c r="C75" s="31"/>
      <c r="D75" s="15"/>
      <c r="E75" s="15"/>
      <c r="F75" s="15"/>
      <c r="G75" s="15"/>
      <c r="H75" s="15"/>
      <c r="I75" s="15"/>
      <c r="J75" s="15"/>
      <c r="K75" s="15"/>
      <c r="L75" s="15"/>
    </row>
    <row r="76" spans="2:12" x14ac:dyDescent="0.25">
      <c r="B76" s="31"/>
      <c r="C76" s="31"/>
      <c r="D76" s="15"/>
      <c r="E76" s="15"/>
      <c r="F76" s="15"/>
      <c r="G76" s="15"/>
      <c r="H76" s="15"/>
      <c r="I76" s="15"/>
      <c r="J76" s="15"/>
      <c r="K76" s="15"/>
      <c r="L76" s="15"/>
    </row>
    <row r="77" spans="2:12" x14ac:dyDescent="0.25">
      <c r="B77" s="31"/>
      <c r="C77" s="31"/>
      <c r="D77" s="15"/>
      <c r="E77" s="15"/>
      <c r="F77" s="15"/>
      <c r="G77" s="15"/>
      <c r="H77" s="15"/>
      <c r="I77" s="15"/>
      <c r="J77" s="15"/>
      <c r="K77" s="15"/>
      <c r="L77" s="15"/>
    </row>
    <row r="78" spans="2:12" x14ac:dyDescent="0.25">
      <c r="B78" s="31"/>
      <c r="C78" s="31"/>
      <c r="D78" s="15"/>
      <c r="E78" s="15"/>
      <c r="F78" s="15"/>
      <c r="G78" s="15"/>
      <c r="H78" s="15"/>
      <c r="I78" s="15"/>
      <c r="J78" s="15"/>
      <c r="K78" s="15"/>
      <c r="L78" s="15"/>
    </row>
    <row r="79" spans="2:12" x14ac:dyDescent="0.25">
      <c r="B79" s="31"/>
      <c r="C79" s="31"/>
      <c r="D79" s="15"/>
      <c r="E79" s="15"/>
      <c r="F79" s="15"/>
      <c r="G79" s="15"/>
      <c r="H79" s="15"/>
      <c r="I79" s="15"/>
      <c r="J79" s="15"/>
      <c r="K79" s="15"/>
      <c r="L79" s="15"/>
    </row>
    <row r="80" spans="2:12" x14ac:dyDescent="0.25">
      <c r="B80" s="31"/>
      <c r="C80" s="31"/>
      <c r="D80" s="15"/>
      <c r="E80" s="15"/>
      <c r="F80" s="15"/>
      <c r="G80" s="15"/>
      <c r="H80" s="15"/>
      <c r="I80" s="15"/>
      <c r="J80" s="15"/>
      <c r="K80" s="15"/>
      <c r="L80" s="15"/>
    </row>
    <row r="81" spans="2:12" x14ac:dyDescent="0.25">
      <c r="B81" s="31"/>
      <c r="C81" s="31"/>
      <c r="D81" s="15"/>
      <c r="E81" s="15"/>
      <c r="F81" s="15"/>
      <c r="G81" s="15"/>
      <c r="H81" s="15"/>
      <c r="I81" s="15"/>
      <c r="J81" s="15"/>
      <c r="K81" s="15"/>
      <c r="L81" s="15"/>
    </row>
    <row r="82" spans="2:12" x14ac:dyDescent="0.25">
      <c r="B82" s="31"/>
      <c r="C82" s="31"/>
      <c r="D82" s="15"/>
      <c r="E82" s="15"/>
      <c r="F82" s="15"/>
      <c r="G82" s="15"/>
      <c r="H82" s="15"/>
      <c r="I82" s="15"/>
      <c r="J82" s="15"/>
      <c r="K82" s="15"/>
      <c r="L82" s="15"/>
    </row>
    <row r="83" spans="2:12" x14ac:dyDescent="0.25">
      <c r="B83" s="31"/>
      <c r="C83" s="31"/>
      <c r="D83" s="15"/>
      <c r="E83" s="15"/>
      <c r="F83" s="15"/>
      <c r="G83" s="15"/>
      <c r="H83" s="15"/>
      <c r="I83" s="15"/>
      <c r="J83" s="15"/>
      <c r="K83" s="15"/>
      <c r="L83" s="15"/>
    </row>
    <row r="84" spans="2:12" x14ac:dyDescent="0.25">
      <c r="B84" s="31"/>
      <c r="C84" s="31"/>
      <c r="D84" s="15"/>
      <c r="E84" s="15"/>
      <c r="F84" s="15"/>
      <c r="G84" s="15"/>
      <c r="H84" s="15"/>
      <c r="I84" s="15"/>
      <c r="J84" s="15"/>
      <c r="K84" s="15"/>
      <c r="L84" s="15"/>
    </row>
    <row r="85" spans="2:12" x14ac:dyDescent="0.25">
      <c r="B85" s="31"/>
      <c r="C85" s="31"/>
      <c r="D85" s="15"/>
      <c r="E85" s="15"/>
      <c r="F85" s="15"/>
      <c r="G85" s="15"/>
      <c r="H85" s="15"/>
      <c r="I85" s="15"/>
      <c r="J85" s="15"/>
      <c r="K85" s="15"/>
      <c r="L85" s="15"/>
    </row>
    <row r="86" spans="2:12" x14ac:dyDescent="0.25">
      <c r="B86" s="31"/>
      <c r="C86" s="31"/>
      <c r="D86" s="15"/>
      <c r="E86" s="15"/>
      <c r="F86" s="15"/>
      <c r="G86" s="15"/>
      <c r="H86" s="15"/>
      <c r="I86" s="15"/>
      <c r="J86" s="15"/>
      <c r="K86" s="15"/>
      <c r="L86" s="15"/>
    </row>
    <row r="87" spans="2:12" x14ac:dyDescent="0.25">
      <c r="B87" s="31"/>
      <c r="C87" s="31"/>
      <c r="D87" s="15"/>
      <c r="E87" s="15"/>
      <c r="F87" s="15"/>
      <c r="G87" s="15"/>
      <c r="H87" s="15"/>
      <c r="I87" s="15"/>
      <c r="J87" s="15"/>
      <c r="K87" s="15"/>
      <c r="L87" s="15"/>
    </row>
    <row r="88" spans="2:12" x14ac:dyDescent="0.25">
      <c r="B88" s="31"/>
      <c r="C88" s="31"/>
      <c r="D88" s="15"/>
      <c r="E88" s="15"/>
      <c r="F88" s="15"/>
      <c r="G88" s="15"/>
      <c r="H88" s="15"/>
      <c r="I88" s="15"/>
      <c r="J88" s="15"/>
      <c r="K88" s="15"/>
      <c r="L88" s="15"/>
    </row>
    <row r="89" spans="2:12" x14ac:dyDescent="0.25">
      <c r="B89" s="31"/>
      <c r="C89" s="31"/>
      <c r="D89" s="15"/>
      <c r="E89" s="15"/>
      <c r="F89" s="15"/>
      <c r="G89" s="15"/>
      <c r="H89" s="15"/>
      <c r="I89" s="15"/>
      <c r="J89" s="15"/>
      <c r="K89" s="15"/>
      <c r="L89" s="15"/>
    </row>
    <row r="90" spans="2:12" x14ac:dyDescent="0.25">
      <c r="B90" s="31"/>
      <c r="C90" s="31"/>
      <c r="D90" s="15"/>
      <c r="E90" s="15"/>
      <c r="F90" s="15"/>
      <c r="G90" s="15"/>
      <c r="H90" s="15"/>
      <c r="I90" s="15"/>
      <c r="J90" s="15"/>
      <c r="K90" s="15"/>
      <c r="L90" s="15"/>
    </row>
    <row r="91" spans="2:12" x14ac:dyDescent="0.25">
      <c r="B91" s="31"/>
      <c r="C91" s="31"/>
      <c r="D91" s="15"/>
      <c r="E91" s="15"/>
      <c r="F91" s="15"/>
      <c r="G91" s="15"/>
      <c r="H91" s="15"/>
      <c r="I91" s="15"/>
      <c r="J91" s="15"/>
      <c r="K91" s="15"/>
      <c r="L91" s="15"/>
    </row>
    <row r="92" spans="2:12" x14ac:dyDescent="0.25">
      <c r="B92" s="31"/>
      <c r="C92" s="31"/>
      <c r="D92" s="15"/>
      <c r="E92" s="15"/>
      <c r="F92" s="15"/>
      <c r="G92" s="15"/>
      <c r="H92" s="15"/>
      <c r="I92" s="15"/>
      <c r="J92" s="15"/>
      <c r="K92" s="15"/>
      <c r="L92" s="15"/>
    </row>
    <row r="93" spans="2:12" x14ac:dyDescent="0.25">
      <c r="B93" s="31"/>
      <c r="C93" s="31"/>
      <c r="D93" s="15"/>
      <c r="E93" s="15"/>
      <c r="F93" s="15"/>
      <c r="G93" s="15"/>
      <c r="H93" s="15"/>
      <c r="I93" s="15"/>
      <c r="J93" s="15"/>
      <c r="K93" s="15"/>
      <c r="L93" s="15"/>
    </row>
    <row r="94" spans="2:12" x14ac:dyDescent="0.25">
      <c r="B94" s="31"/>
      <c r="C94" s="31"/>
      <c r="D94" s="15"/>
      <c r="E94" s="15"/>
      <c r="F94" s="15"/>
      <c r="G94" s="15"/>
      <c r="H94" s="15"/>
      <c r="I94" s="15"/>
      <c r="J94" s="15"/>
      <c r="K94" s="15"/>
      <c r="L94" s="15"/>
    </row>
    <row r="95" spans="2:12" x14ac:dyDescent="0.25">
      <c r="B95" s="31"/>
      <c r="C95" s="31"/>
      <c r="D95" s="15"/>
      <c r="E95" s="15"/>
      <c r="F95" s="15"/>
      <c r="G95" s="15"/>
      <c r="H95" s="15"/>
      <c r="I95" s="15"/>
      <c r="J95" s="15"/>
      <c r="K95" s="15"/>
      <c r="L95" s="15"/>
    </row>
    <row r="96" spans="2:12" x14ac:dyDescent="0.25">
      <c r="B96" s="31"/>
      <c r="C96" s="31"/>
      <c r="D96" s="15"/>
      <c r="E96" s="15"/>
      <c r="F96" s="15"/>
      <c r="G96" s="15"/>
      <c r="H96" s="15"/>
      <c r="I96" s="15"/>
      <c r="J96" s="15"/>
      <c r="K96" s="15"/>
      <c r="L96" s="15"/>
    </row>
    <row r="97" spans="2:12" x14ac:dyDescent="0.25">
      <c r="B97" s="31"/>
      <c r="C97" s="31"/>
      <c r="D97" s="15"/>
      <c r="E97" s="15"/>
      <c r="F97" s="15"/>
      <c r="G97" s="15"/>
      <c r="H97" s="15"/>
      <c r="I97" s="15"/>
      <c r="J97" s="15"/>
      <c r="K97" s="15"/>
      <c r="L97" s="15"/>
    </row>
    <row r="98" spans="2:12" x14ac:dyDescent="0.25">
      <c r="B98" s="31"/>
      <c r="C98" s="31"/>
      <c r="D98" s="31"/>
      <c r="E98" s="31"/>
      <c r="F98" s="31"/>
      <c r="G98" s="31"/>
      <c r="H98" s="31"/>
      <c r="I98" s="31"/>
      <c r="J98" s="31"/>
      <c r="K98" s="31"/>
    </row>
    <row r="99" spans="2:12" x14ac:dyDescent="0.25">
      <c r="B99" s="31"/>
      <c r="C99" s="31"/>
      <c r="D99" s="31"/>
      <c r="E99" s="31"/>
      <c r="F99" s="31"/>
      <c r="G99" s="31"/>
      <c r="H99" s="31"/>
      <c r="I99" s="31"/>
      <c r="J99" s="31"/>
      <c r="K99" s="31"/>
    </row>
    <row r="100" spans="2:12" x14ac:dyDescent="0.25">
      <c r="B100" s="31"/>
      <c r="C100" s="31"/>
      <c r="D100" s="31"/>
      <c r="E100" s="31"/>
      <c r="F100" s="31"/>
      <c r="G100" s="31"/>
      <c r="H100" s="31"/>
      <c r="I100" s="31"/>
      <c r="J100" s="31"/>
      <c r="K100" s="31"/>
    </row>
    <row r="101" spans="2:12" x14ac:dyDescent="0.25">
      <c r="B101" s="31"/>
      <c r="C101" s="31"/>
      <c r="D101" s="31"/>
      <c r="E101" s="31"/>
      <c r="F101" s="31"/>
      <c r="G101" s="31"/>
      <c r="H101" s="31"/>
      <c r="I101" s="31"/>
      <c r="J101" s="31"/>
      <c r="K101" s="31"/>
    </row>
    <row r="102" spans="2:12" x14ac:dyDescent="0.25">
      <c r="B102" s="31"/>
      <c r="C102" s="31"/>
      <c r="D102" s="31"/>
      <c r="E102" s="31"/>
      <c r="F102" s="31"/>
      <c r="G102" s="31"/>
      <c r="H102" s="31"/>
      <c r="I102" s="31"/>
      <c r="J102" s="31"/>
      <c r="K102" s="31"/>
    </row>
    <row r="103" spans="2:12" x14ac:dyDescent="0.25">
      <c r="B103" s="31"/>
      <c r="C103" s="31"/>
      <c r="D103" s="31"/>
      <c r="E103" s="31"/>
      <c r="F103" s="31"/>
      <c r="G103" s="31"/>
      <c r="H103" s="31"/>
      <c r="I103" s="31"/>
      <c r="J103" s="31"/>
      <c r="K103" s="31"/>
    </row>
    <row r="104" spans="2:12" x14ac:dyDescent="0.25">
      <c r="B104" s="31"/>
      <c r="C104" s="31"/>
      <c r="D104" s="31"/>
      <c r="E104" s="31"/>
      <c r="F104" s="31"/>
      <c r="G104" s="31"/>
      <c r="H104" s="31"/>
      <c r="I104" s="31"/>
      <c r="J104" s="31"/>
      <c r="K104" s="31"/>
    </row>
    <row r="105" spans="2:12" x14ac:dyDescent="0.25">
      <c r="B105" s="31"/>
      <c r="C105" s="31"/>
      <c r="D105" s="31"/>
      <c r="E105" s="31"/>
      <c r="F105" s="31"/>
      <c r="G105" s="31"/>
      <c r="H105" s="31"/>
      <c r="I105" s="31"/>
      <c r="J105" s="31"/>
      <c r="K105" s="31"/>
    </row>
  </sheetData>
  <mergeCells count="2">
    <mergeCell ref="A2:L2"/>
    <mergeCell ref="I3:L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workbookViewId="0">
      <selection activeCell="U6" sqref="U6"/>
    </sheetView>
  </sheetViews>
  <sheetFormatPr baseColWidth="10" defaultRowHeight="15" x14ac:dyDescent="0.25"/>
  <cols>
    <col min="1" max="1" width="6.140625" customWidth="1"/>
    <col min="2" max="2" width="7.42578125" customWidth="1"/>
    <col min="3" max="3" width="21.85546875" customWidth="1"/>
    <col min="5" max="5" width="7.42578125" customWidth="1"/>
    <col min="6" max="6" width="8.140625" customWidth="1"/>
    <col min="7" max="7" width="8.28515625" customWidth="1"/>
    <col min="13" max="13" width="22.5703125" customWidth="1"/>
  </cols>
  <sheetData>
    <row r="1" spans="1:13" ht="15.75" x14ac:dyDescent="0.25">
      <c r="A1" s="196" t="s">
        <v>1110</v>
      </c>
      <c r="B1" s="196"/>
      <c r="C1" s="197"/>
      <c r="D1" s="197"/>
      <c r="E1" s="197"/>
      <c r="F1" s="197"/>
      <c r="G1" s="197"/>
      <c r="H1" s="197"/>
      <c r="I1" s="197"/>
      <c r="J1" s="197"/>
      <c r="K1" s="197"/>
      <c r="L1" s="197"/>
      <c r="M1" s="197"/>
    </row>
    <row r="2" spans="1:13" ht="15.75" x14ac:dyDescent="0.25">
      <c r="A2" s="216" t="s">
        <v>866</v>
      </c>
      <c r="B2" s="217"/>
      <c r="C2" s="217"/>
      <c r="D2" s="217"/>
      <c r="E2" s="91"/>
      <c r="F2" s="91"/>
      <c r="G2" s="91"/>
      <c r="H2" s="91"/>
      <c r="I2" s="91"/>
      <c r="J2" s="91"/>
      <c r="K2" s="199" t="s">
        <v>986</v>
      </c>
      <c r="L2" s="199"/>
      <c r="M2" s="200"/>
    </row>
    <row r="3" spans="1:13" ht="45" x14ac:dyDescent="0.25">
      <c r="A3" s="16" t="s">
        <v>0</v>
      </c>
      <c r="B3" s="16" t="s">
        <v>16</v>
      </c>
      <c r="C3" s="16" t="s">
        <v>1</v>
      </c>
      <c r="D3" s="17" t="s">
        <v>2</v>
      </c>
      <c r="E3" s="16" t="s">
        <v>3</v>
      </c>
      <c r="F3" s="16" t="s">
        <v>4</v>
      </c>
      <c r="G3" s="16" t="s">
        <v>352</v>
      </c>
      <c r="H3" s="16" t="s">
        <v>9</v>
      </c>
      <c r="I3" s="16" t="s">
        <v>6</v>
      </c>
      <c r="J3" s="16" t="s">
        <v>7</v>
      </c>
      <c r="K3" s="16" t="s">
        <v>926</v>
      </c>
      <c r="L3" s="16" t="s">
        <v>8</v>
      </c>
      <c r="M3" s="16" t="s">
        <v>10</v>
      </c>
    </row>
    <row r="4" spans="1:13" ht="48" x14ac:dyDescent="0.25">
      <c r="A4" s="40">
        <v>1</v>
      </c>
      <c r="B4" s="40">
        <v>2012590</v>
      </c>
      <c r="C4" s="164" t="s">
        <v>867</v>
      </c>
      <c r="D4" s="51" t="s">
        <v>695</v>
      </c>
      <c r="E4" s="40">
        <v>1</v>
      </c>
      <c r="F4" s="139" t="s">
        <v>914</v>
      </c>
      <c r="G4" s="140">
        <v>8500</v>
      </c>
      <c r="H4" s="66">
        <f>E4*G4</f>
        <v>8500</v>
      </c>
      <c r="I4" s="40" t="s">
        <v>835</v>
      </c>
      <c r="J4" s="40" t="s">
        <v>836</v>
      </c>
      <c r="K4" s="119" t="s">
        <v>985</v>
      </c>
      <c r="L4" s="40" t="s">
        <v>71</v>
      </c>
      <c r="M4" s="40" t="s">
        <v>918</v>
      </c>
    </row>
    <row r="5" spans="1:13" ht="48" x14ac:dyDescent="0.25">
      <c r="A5" s="40">
        <v>2</v>
      </c>
      <c r="B5" s="40">
        <v>2012590</v>
      </c>
      <c r="C5" s="164" t="s">
        <v>868</v>
      </c>
      <c r="D5" s="51" t="s">
        <v>695</v>
      </c>
      <c r="E5" s="40">
        <v>1</v>
      </c>
      <c r="F5" s="139" t="s">
        <v>914</v>
      </c>
      <c r="G5" s="141">
        <v>15000</v>
      </c>
      <c r="H5" s="66">
        <f t="shared" ref="H5:H50" si="0">E5*G5</f>
        <v>15000</v>
      </c>
      <c r="I5" s="40" t="s">
        <v>835</v>
      </c>
      <c r="J5" s="40" t="s">
        <v>836</v>
      </c>
      <c r="K5" s="119" t="s">
        <v>985</v>
      </c>
      <c r="L5" s="40" t="s">
        <v>71</v>
      </c>
      <c r="M5" s="40" t="s">
        <v>918</v>
      </c>
    </row>
    <row r="6" spans="1:13" ht="48" x14ac:dyDescent="0.25">
      <c r="A6" s="40">
        <v>3</v>
      </c>
      <c r="B6" s="40">
        <v>2012590</v>
      </c>
      <c r="C6" s="164" t="s">
        <v>869</v>
      </c>
      <c r="D6" s="51" t="s">
        <v>695</v>
      </c>
      <c r="E6" s="40">
        <v>1</v>
      </c>
      <c r="F6" s="139" t="s">
        <v>915</v>
      </c>
      <c r="G6" s="141">
        <v>6500</v>
      </c>
      <c r="H6" s="66">
        <f t="shared" si="0"/>
        <v>6500</v>
      </c>
      <c r="I6" s="40" t="s">
        <v>835</v>
      </c>
      <c r="J6" s="40" t="s">
        <v>836</v>
      </c>
      <c r="K6" s="119" t="s">
        <v>985</v>
      </c>
      <c r="L6" s="40" t="s">
        <v>71</v>
      </c>
      <c r="M6" s="40" t="s">
        <v>918</v>
      </c>
    </row>
    <row r="7" spans="1:13" ht="48" x14ac:dyDescent="0.25">
      <c r="A7" s="40">
        <v>4</v>
      </c>
      <c r="B7" s="40">
        <v>2012590</v>
      </c>
      <c r="C7" s="164" t="s">
        <v>870</v>
      </c>
      <c r="D7" s="51" t="s">
        <v>695</v>
      </c>
      <c r="E7" s="40">
        <v>1</v>
      </c>
      <c r="F7" s="139" t="s">
        <v>914</v>
      </c>
      <c r="G7" s="141">
        <v>16000</v>
      </c>
      <c r="H7" s="66">
        <f t="shared" si="0"/>
        <v>16000</v>
      </c>
      <c r="I7" s="40" t="s">
        <v>835</v>
      </c>
      <c r="J7" s="40" t="s">
        <v>836</v>
      </c>
      <c r="K7" s="119" t="s">
        <v>985</v>
      </c>
      <c r="L7" s="40" t="s">
        <v>71</v>
      </c>
      <c r="M7" s="40" t="s">
        <v>918</v>
      </c>
    </row>
    <row r="8" spans="1:13" ht="48" x14ac:dyDescent="0.25">
      <c r="A8" s="40">
        <v>5</v>
      </c>
      <c r="B8" s="40">
        <v>2012590</v>
      </c>
      <c r="C8" s="164" t="s">
        <v>871</v>
      </c>
      <c r="D8" s="51" t="s">
        <v>695</v>
      </c>
      <c r="E8" s="40">
        <v>1</v>
      </c>
      <c r="F8" s="139" t="s">
        <v>914</v>
      </c>
      <c r="G8" s="141">
        <v>12000</v>
      </c>
      <c r="H8" s="66">
        <f t="shared" si="0"/>
        <v>12000</v>
      </c>
      <c r="I8" s="40" t="s">
        <v>835</v>
      </c>
      <c r="J8" s="40" t="s">
        <v>836</v>
      </c>
      <c r="K8" s="119" t="s">
        <v>985</v>
      </c>
      <c r="L8" s="40" t="s">
        <v>71</v>
      </c>
      <c r="M8" s="40" t="s">
        <v>918</v>
      </c>
    </row>
    <row r="9" spans="1:13" ht="48" x14ac:dyDescent="0.25">
      <c r="A9" s="40">
        <v>6</v>
      </c>
      <c r="B9" s="40">
        <v>2012590</v>
      </c>
      <c r="C9" s="164" t="s">
        <v>872</v>
      </c>
      <c r="D9" s="51" t="s">
        <v>695</v>
      </c>
      <c r="E9" s="40">
        <v>1</v>
      </c>
      <c r="F9" s="139" t="s">
        <v>4</v>
      </c>
      <c r="G9" s="141">
        <v>20000</v>
      </c>
      <c r="H9" s="66">
        <f t="shared" si="0"/>
        <v>20000</v>
      </c>
      <c r="I9" s="40" t="s">
        <v>835</v>
      </c>
      <c r="J9" s="40" t="s">
        <v>836</v>
      </c>
      <c r="K9" s="119" t="s">
        <v>985</v>
      </c>
      <c r="L9" s="40" t="s">
        <v>71</v>
      </c>
      <c r="M9" s="40" t="s">
        <v>918</v>
      </c>
    </row>
    <row r="10" spans="1:13" ht="48" x14ac:dyDescent="0.25">
      <c r="A10" s="40">
        <v>7</v>
      </c>
      <c r="B10" s="40">
        <v>2012590</v>
      </c>
      <c r="C10" s="164" t="s">
        <v>873</v>
      </c>
      <c r="D10" s="51" t="s">
        <v>695</v>
      </c>
      <c r="E10" s="40">
        <v>1</v>
      </c>
      <c r="F10" s="139" t="s">
        <v>4</v>
      </c>
      <c r="G10" s="141">
        <v>10500</v>
      </c>
      <c r="H10" s="66">
        <f t="shared" si="0"/>
        <v>10500</v>
      </c>
      <c r="I10" s="40" t="s">
        <v>835</v>
      </c>
      <c r="J10" s="40" t="s">
        <v>836</v>
      </c>
      <c r="K10" s="119" t="s">
        <v>985</v>
      </c>
      <c r="L10" s="40" t="s">
        <v>71</v>
      </c>
      <c r="M10" s="40" t="s">
        <v>918</v>
      </c>
    </row>
    <row r="11" spans="1:13" ht="48" x14ac:dyDescent="0.25">
      <c r="A11" s="40">
        <v>8</v>
      </c>
      <c r="B11" s="40">
        <v>2012590</v>
      </c>
      <c r="C11" s="164" t="s">
        <v>874</v>
      </c>
      <c r="D11" s="51" t="s">
        <v>695</v>
      </c>
      <c r="E11" s="40">
        <v>1</v>
      </c>
      <c r="F11" s="139" t="s">
        <v>171</v>
      </c>
      <c r="G11" s="141">
        <v>150000</v>
      </c>
      <c r="H11" s="66">
        <f t="shared" si="0"/>
        <v>150000</v>
      </c>
      <c r="I11" s="40" t="s">
        <v>835</v>
      </c>
      <c r="J11" s="40" t="s">
        <v>836</v>
      </c>
      <c r="K11" s="119" t="s">
        <v>985</v>
      </c>
      <c r="L11" s="40" t="s">
        <v>71</v>
      </c>
      <c r="M11" s="40" t="s">
        <v>918</v>
      </c>
    </row>
    <row r="12" spans="1:13" ht="48" x14ac:dyDescent="0.25">
      <c r="A12" s="40">
        <v>9</v>
      </c>
      <c r="B12" s="40">
        <v>2012590</v>
      </c>
      <c r="C12" s="164" t="s">
        <v>875</v>
      </c>
      <c r="D12" s="51" t="s">
        <v>695</v>
      </c>
      <c r="E12" s="40">
        <v>1</v>
      </c>
      <c r="F12" s="139" t="s">
        <v>4</v>
      </c>
      <c r="G12" s="141">
        <v>3500</v>
      </c>
      <c r="H12" s="66">
        <f t="shared" si="0"/>
        <v>3500</v>
      </c>
      <c r="I12" s="40" t="s">
        <v>835</v>
      </c>
      <c r="J12" s="40" t="s">
        <v>836</v>
      </c>
      <c r="K12" s="119" t="s">
        <v>985</v>
      </c>
      <c r="L12" s="40" t="s">
        <v>71</v>
      </c>
      <c r="M12" s="40" t="s">
        <v>918</v>
      </c>
    </row>
    <row r="13" spans="1:13" ht="48" x14ac:dyDescent="0.25">
      <c r="A13" s="40">
        <v>10</v>
      </c>
      <c r="B13" s="40">
        <v>2012590</v>
      </c>
      <c r="C13" s="164" t="s">
        <v>876</v>
      </c>
      <c r="D13" s="51" t="s">
        <v>695</v>
      </c>
      <c r="E13" s="40">
        <v>1</v>
      </c>
      <c r="F13" s="139" t="s">
        <v>4</v>
      </c>
      <c r="G13" s="141">
        <v>400</v>
      </c>
      <c r="H13" s="66">
        <f t="shared" si="0"/>
        <v>400</v>
      </c>
      <c r="I13" s="40" t="s">
        <v>835</v>
      </c>
      <c r="J13" s="40" t="s">
        <v>836</v>
      </c>
      <c r="K13" s="119" t="s">
        <v>985</v>
      </c>
      <c r="L13" s="40" t="s">
        <v>71</v>
      </c>
      <c r="M13" s="40" t="s">
        <v>918</v>
      </c>
    </row>
    <row r="14" spans="1:13" ht="48" x14ac:dyDescent="0.25">
      <c r="A14" s="40">
        <v>11</v>
      </c>
      <c r="B14" s="40">
        <v>2012590</v>
      </c>
      <c r="C14" s="164" t="s">
        <v>877</v>
      </c>
      <c r="D14" s="51" t="s">
        <v>695</v>
      </c>
      <c r="E14" s="40">
        <v>1</v>
      </c>
      <c r="F14" s="139" t="s">
        <v>4</v>
      </c>
      <c r="G14" s="141">
        <v>8000</v>
      </c>
      <c r="H14" s="66">
        <f t="shared" si="0"/>
        <v>8000</v>
      </c>
      <c r="I14" s="40" t="s">
        <v>835</v>
      </c>
      <c r="J14" s="40" t="s">
        <v>836</v>
      </c>
      <c r="K14" s="119" t="s">
        <v>985</v>
      </c>
      <c r="L14" s="40" t="s">
        <v>71</v>
      </c>
      <c r="M14" s="40" t="s">
        <v>918</v>
      </c>
    </row>
    <row r="15" spans="1:13" ht="48" x14ac:dyDescent="0.25">
      <c r="A15" s="40">
        <v>12</v>
      </c>
      <c r="B15" s="40">
        <v>2012590</v>
      </c>
      <c r="C15" s="164" t="s">
        <v>878</v>
      </c>
      <c r="D15" s="51" t="s">
        <v>695</v>
      </c>
      <c r="E15" s="40">
        <v>1</v>
      </c>
      <c r="F15" s="139" t="s">
        <v>914</v>
      </c>
      <c r="G15" s="141">
        <v>15000</v>
      </c>
      <c r="H15" s="66">
        <f t="shared" si="0"/>
        <v>15000</v>
      </c>
      <c r="I15" s="40" t="s">
        <v>835</v>
      </c>
      <c r="J15" s="40" t="s">
        <v>836</v>
      </c>
      <c r="K15" s="119" t="s">
        <v>985</v>
      </c>
      <c r="L15" s="40" t="s">
        <v>71</v>
      </c>
      <c r="M15" s="40" t="s">
        <v>918</v>
      </c>
    </row>
    <row r="16" spans="1:13" ht="48" x14ac:dyDescent="0.25">
      <c r="A16" s="40">
        <v>13</v>
      </c>
      <c r="B16" s="40">
        <v>2012590</v>
      </c>
      <c r="C16" s="164" t="s">
        <v>879</v>
      </c>
      <c r="D16" s="51" t="s">
        <v>695</v>
      </c>
      <c r="E16" s="40">
        <v>1</v>
      </c>
      <c r="F16" s="139" t="s">
        <v>4</v>
      </c>
      <c r="G16" s="141">
        <v>4000</v>
      </c>
      <c r="H16" s="66">
        <f t="shared" si="0"/>
        <v>4000</v>
      </c>
      <c r="I16" s="40" t="s">
        <v>835</v>
      </c>
      <c r="J16" s="40" t="s">
        <v>836</v>
      </c>
      <c r="K16" s="119" t="s">
        <v>985</v>
      </c>
      <c r="L16" s="40" t="s">
        <v>71</v>
      </c>
      <c r="M16" s="40" t="s">
        <v>918</v>
      </c>
    </row>
    <row r="17" spans="1:13" ht="48" x14ac:dyDescent="0.25">
      <c r="A17" s="40">
        <v>14</v>
      </c>
      <c r="B17" s="40">
        <v>2012590</v>
      </c>
      <c r="C17" s="164" t="s">
        <v>880</v>
      </c>
      <c r="D17" s="51" t="s">
        <v>695</v>
      </c>
      <c r="E17" s="40">
        <v>1</v>
      </c>
      <c r="F17" s="139" t="s">
        <v>4</v>
      </c>
      <c r="G17" s="141">
        <v>3500</v>
      </c>
      <c r="H17" s="66">
        <f t="shared" si="0"/>
        <v>3500</v>
      </c>
      <c r="I17" s="40" t="s">
        <v>835</v>
      </c>
      <c r="J17" s="40" t="s">
        <v>836</v>
      </c>
      <c r="K17" s="119" t="s">
        <v>985</v>
      </c>
      <c r="L17" s="40" t="s">
        <v>71</v>
      </c>
      <c r="M17" s="40" t="s">
        <v>918</v>
      </c>
    </row>
    <row r="18" spans="1:13" ht="48" x14ac:dyDescent="0.25">
      <c r="A18" s="40">
        <v>15</v>
      </c>
      <c r="B18" s="40">
        <v>2012590</v>
      </c>
      <c r="C18" s="164" t="s">
        <v>881</v>
      </c>
      <c r="D18" s="51" t="s">
        <v>695</v>
      </c>
      <c r="E18" s="40">
        <v>1</v>
      </c>
      <c r="F18" s="139" t="s">
        <v>4</v>
      </c>
      <c r="G18" s="141">
        <v>2500</v>
      </c>
      <c r="H18" s="66">
        <f t="shared" si="0"/>
        <v>2500</v>
      </c>
      <c r="I18" s="40" t="s">
        <v>835</v>
      </c>
      <c r="J18" s="40" t="s">
        <v>836</v>
      </c>
      <c r="K18" s="119" t="s">
        <v>985</v>
      </c>
      <c r="L18" s="40" t="s">
        <v>71</v>
      </c>
      <c r="M18" s="40" t="s">
        <v>918</v>
      </c>
    </row>
    <row r="19" spans="1:13" ht="48" x14ac:dyDescent="0.25">
      <c r="A19" s="40">
        <v>16</v>
      </c>
      <c r="B19" s="40">
        <v>2012590</v>
      </c>
      <c r="C19" s="164" t="s">
        <v>882</v>
      </c>
      <c r="D19" s="51" t="s">
        <v>695</v>
      </c>
      <c r="E19" s="40">
        <v>1</v>
      </c>
      <c r="F19" s="139" t="s">
        <v>4</v>
      </c>
      <c r="G19" s="141">
        <v>8000</v>
      </c>
      <c r="H19" s="66">
        <f t="shared" si="0"/>
        <v>8000</v>
      </c>
      <c r="I19" s="40" t="s">
        <v>835</v>
      </c>
      <c r="J19" s="40" t="s">
        <v>836</v>
      </c>
      <c r="K19" s="119" t="s">
        <v>985</v>
      </c>
      <c r="L19" s="40" t="s">
        <v>71</v>
      </c>
      <c r="M19" s="40" t="s">
        <v>918</v>
      </c>
    </row>
    <row r="20" spans="1:13" ht="48" x14ac:dyDescent="0.25">
      <c r="A20" s="40">
        <v>17</v>
      </c>
      <c r="B20" s="40">
        <v>2012590</v>
      </c>
      <c r="C20" s="164" t="s">
        <v>883</v>
      </c>
      <c r="D20" s="51" t="s">
        <v>695</v>
      </c>
      <c r="E20" s="40">
        <v>1</v>
      </c>
      <c r="F20" s="139" t="s">
        <v>4</v>
      </c>
      <c r="G20" s="141">
        <v>6500</v>
      </c>
      <c r="H20" s="66">
        <f t="shared" si="0"/>
        <v>6500</v>
      </c>
      <c r="I20" s="40" t="s">
        <v>835</v>
      </c>
      <c r="J20" s="40" t="s">
        <v>836</v>
      </c>
      <c r="K20" s="119" t="s">
        <v>985</v>
      </c>
      <c r="L20" s="40" t="s">
        <v>71</v>
      </c>
      <c r="M20" s="40" t="s">
        <v>918</v>
      </c>
    </row>
    <row r="21" spans="1:13" ht="48" x14ac:dyDescent="0.25">
      <c r="A21" s="40">
        <v>18</v>
      </c>
      <c r="B21" s="40">
        <v>2012590</v>
      </c>
      <c r="C21" s="164" t="s">
        <v>884</v>
      </c>
      <c r="D21" s="51" t="s">
        <v>695</v>
      </c>
      <c r="E21" s="40">
        <v>1</v>
      </c>
      <c r="F21" s="139" t="s">
        <v>916</v>
      </c>
      <c r="G21" s="141">
        <v>60000</v>
      </c>
      <c r="H21" s="66">
        <f t="shared" si="0"/>
        <v>60000</v>
      </c>
      <c r="I21" s="40" t="s">
        <v>835</v>
      </c>
      <c r="J21" s="40" t="s">
        <v>836</v>
      </c>
      <c r="K21" s="119" t="s">
        <v>985</v>
      </c>
      <c r="L21" s="40" t="s">
        <v>71</v>
      </c>
      <c r="M21" s="40" t="s">
        <v>918</v>
      </c>
    </row>
    <row r="22" spans="1:13" ht="48" x14ac:dyDescent="0.25">
      <c r="A22" s="40">
        <v>19</v>
      </c>
      <c r="B22" s="40">
        <v>2012590</v>
      </c>
      <c r="C22" s="164" t="s">
        <v>885</v>
      </c>
      <c r="D22" s="51" t="s">
        <v>695</v>
      </c>
      <c r="E22" s="40">
        <v>1</v>
      </c>
      <c r="F22" s="139" t="s">
        <v>4</v>
      </c>
      <c r="G22" s="141">
        <v>6500</v>
      </c>
      <c r="H22" s="66">
        <f t="shared" si="0"/>
        <v>6500</v>
      </c>
      <c r="I22" s="40" t="s">
        <v>835</v>
      </c>
      <c r="J22" s="40" t="s">
        <v>836</v>
      </c>
      <c r="K22" s="119" t="s">
        <v>985</v>
      </c>
      <c r="L22" s="40" t="s">
        <v>71</v>
      </c>
      <c r="M22" s="40" t="s">
        <v>918</v>
      </c>
    </row>
    <row r="23" spans="1:13" ht="48" x14ac:dyDescent="0.25">
      <c r="A23" s="40">
        <v>20</v>
      </c>
      <c r="B23" s="40">
        <v>2012590</v>
      </c>
      <c r="C23" s="165" t="s">
        <v>886</v>
      </c>
      <c r="D23" s="51" t="s">
        <v>695</v>
      </c>
      <c r="E23" s="40">
        <v>1</v>
      </c>
      <c r="F23" s="139" t="s">
        <v>4</v>
      </c>
      <c r="G23" s="141">
        <v>5000</v>
      </c>
      <c r="H23" s="66">
        <f t="shared" si="0"/>
        <v>5000</v>
      </c>
      <c r="I23" s="40" t="s">
        <v>835</v>
      </c>
      <c r="J23" s="40" t="s">
        <v>836</v>
      </c>
      <c r="K23" s="119" t="s">
        <v>985</v>
      </c>
      <c r="L23" s="40" t="s">
        <v>71</v>
      </c>
      <c r="M23" s="40" t="s">
        <v>918</v>
      </c>
    </row>
    <row r="24" spans="1:13" ht="48" x14ac:dyDescent="0.25">
      <c r="A24" s="40">
        <v>21</v>
      </c>
      <c r="B24" s="40">
        <v>2012590</v>
      </c>
      <c r="C24" s="164" t="s">
        <v>887</v>
      </c>
      <c r="D24" s="51" t="s">
        <v>695</v>
      </c>
      <c r="E24" s="40">
        <v>1</v>
      </c>
      <c r="F24" s="139" t="s">
        <v>4</v>
      </c>
      <c r="G24" s="141">
        <v>8500</v>
      </c>
      <c r="H24" s="66">
        <f t="shared" si="0"/>
        <v>8500</v>
      </c>
      <c r="I24" s="40" t="s">
        <v>835</v>
      </c>
      <c r="J24" s="40" t="s">
        <v>836</v>
      </c>
      <c r="K24" s="119" t="s">
        <v>985</v>
      </c>
      <c r="L24" s="40" t="s">
        <v>71</v>
      </c>
      <c r="M24" s="40" t="s">
        <v>918</v>
      </c>
    </row>
    <row r="25" spans="1:13" ht="48" x14ac:dyDescent="0.25">
      <c r="A25" s="40">
        <v>22</v>
      </c>
      <c r="B25" s="40">
        <v>2012590</v>
      </c>
      <c r="C25" s="164" t="s">
        <v>888</v>
      </c>
      <c r="D25" s="51" t="s">
        <v>695</v>
      </c>
      <c r="E25" s="40">
        <v>1</v>
      </c>
      <c r="F25" s="139" t="s">
        <v>917</v>
      </c>
      <c r="G25" s="141">
        <v>6500</v>
      </c>
      <c r="H25" s="66">
        <f t="shared" si="0"/>
        <v>6500</v>
      </c>
      <c r="I25" s="40" t="s">
        <v>835</v>
      </c>
      <c r="J25" s="40" t="s">
        <v>836</v>
      </c>
      <c r="K25" s="119" t="s">
        <v>985</v>
      </c>
      <c r="L25" s="40" t="s">
        <v>71</v>
      </c>
      <c r="M25" s="40" t="s">
        <v>918</v>
      </c>
    </row>
    <row r="26" spans="1:13" ht="48" x14ac:dyDescent="0.25">
      <c r="A26" s="40">
        <v>23</v>
      </c>
      <c r="B26" s="40">
        <v>2012590</v>
      </c>
      <c r="C26" s="164" t="s">
        <v>889</v>
      </c>
      <c r="D26" s="51" t="s">
        <v>695</v>
      </c>
      <c r="E26" s="40">
        <v>1</v>
      </c>
      <c r="F26" s="139" t="s">
        <v>917</v>
      </c>
      <c r="G26" s="141">
        <v>6500</v>
      </c>
      <c r="H26" s="66">
        <f t="shared" si="0"/>
        <v>6500</v>
      </c>
      <c r="I26" s="40" t="s">
        <v>835</v>
      </c>
      <c r="J26" s="40" t="s">
        <v>836</v>
      </c>
      <c r="K26" s="119" t="s">
        <v>985</v>
      </c>
      <c r="L26" s="40" t="s">
        <v>71</v>
      </c>
      <c r="M26" s="40" t="s">
        <v>918</v>
      </c>
    </row>
    <row r="27" spans="1:13" ht="48" x14ac:dyDescent="0.25">
      <c r="A27" s="40">
        <v>24</v>
      </c>
      <c r="B27" s="40">
        <v>2012590</v>
      </c>
      <c r="C27" s="164" t="s">
        <v>890</v>
      </c>
      <c r="D27" s="51" t="s">
        <v>695</v>
      </c>
      <c r="E27" s="40">
        <v>1</v>
      </c>
      <c r="F27" s="139" t="s">
        <v>215</v>
      </c>
      <c r="G27" s="141">
        <v>4500</v>
      </c>
      <c r="H27" s="66">
        <f t="shared" si="0"/>
        <v>4500</v>
      </c>
      <c r="I27" s="40" t="s">
        <v>835</v>
      </c>
      <c r="J27" s="40" t="s">
        <v>836</v>
      </c>
      <c r="K27" s="119" t="s">
        <v>985</v>
      </c>
      <c r="L27" s="40" t="s">
        <v>71</v>
      </c>
      <c r="M27" s="40" t="s">
        <v>918</v>
      </c>
    </row>
    <row r="28" spans="1:13" ht="48" x14ac:dyDescent="0.25">
      <c r="A28" s="40">
        <v>25</v>
      </c>
      <c r="B28" s="40">
        <v>2012590</v>
      </c>
      <c r="C28" s="164" t="s">
        <v>891</v>
      </c>
      <c r="D28" s="51" t="s">
        <v>695</v>
      </c>
      <c r="E28" s="40">
        <v>1</v>
      </c>
      <c r="F28" s="139" t="s">
        <v>215</v>
      </c>
      <c r="G28" s="141">
        <v>8500</v>
      </c>
      <c r="H28" s="66">
        <f t="shared" si="0"/>
        <v>8500</v>
      </c>
      <c r="I28" s="40" t="s">
        <v>835</v>
      </c>
      <c r="J28" s="40" t="s">
        <v>836</v>
      </c>
      <c r="K28" s="119" t="s">
        <v>985</v>
      </c>
      <c r="L28" s="40" t="s">
        <v>71</v>
      </c>
      <c r="M28" s="40" t="s">
        <v>918</v>
      </c>
    </row>
    <row r="29" spans="1:13" ht="48" x14ac:dyDescent="0.25">
      <c r="A29" s="40">
        <v>26</v>
      </c>
      <c r="B29" s="40">
        <v>2012590</v>
      </c>
      <c r="C29" s="164" t="s">
        <v>892</v>
      </c>
      <c r="D29" s="51" t="s">
        <v>695</v>
      </c>
      <c r="E29" s="40">
        <v>1</v>
      </c>
      <c r="F29" s="139" t="s">
        <v>4</v>
      </c>
      <c r="G29" s="141">
        <v>11000</v>
      </c>
      <c r="H29" s="66">
        <f t="shared" si="0"/>
        <v>11000</v>
      </c>
      <c r="I29" s="40" t="s">
        <v>835</v>
      </c>
      <c r="J29" s="40" t="s">
        <v>836</v>
      </c>
      <c r="K29" s="119" t="s">
        <v>985</v>
      </c>
      <c r="L29" s="40" t="s">
        <v>71</v>
      </c>
      <c r="M29" s="40" t="s">
        <v>918</v>
      </c>
    </row>
    <row r="30" spans="1:13" ht="48" x14ac:dyDescent="0.25">
      <c r="A30" s="40">
        <v>27</v>
      </c>
      <c r="B30" s="40">
        <v>2012590</v>
      </c>
      <c r="C30" s="164" t="s">
        <v>893</v>
      </c>
      <c r="D30" s="51" t="s">
        <v>695</v>
      </c>
      <c r="E30" s="40">
        <v>1</v>
      </c>
      <c r="F30" s="139" t="s">
        <v>4</v>
      </c>
      <c r="G30" s="141">
        <v>2500</v>
      </c>
      <c r="H30" s="66">
        <f t="shared" si="0"/>
        <v>2500</v>
      </c>
      <c r="I30" s="40" t="s">
        <v>835</v>
      </c>
      <c r="J30" s="40" t="s">
        <v>836</v>
      </c>
      <c r="K30" s="119" t="s">
        <v>985</v>
      </c>
      <c r="L30" s="40" t="s">
        <v>71</v>
      </c>
      <c r="M30" s="40" t="s">
        <v>918</v>
      </c>
    </row>
    <row r="31" spans="1:13" ht="48" x14ac:dyDescent="0.25">
      <c r="A31" s="40">
        <v>28</v>
      </c>
      <c r="B31" s="40">
        <v>2012590</v>
      </c>
      <c r="C31" s="164" t="s">
        <v>894</v>
      </c>
      <c r="D31" s="51" t="s">
        <v>695</v>
      </c>
      <c r="E31" s="40">
        <v>1</v>
      </c>
      <c r="F31" s="139" t="s">
        <v>4</v>
      </c>
      <c r="G31" s="141">
        <v>60000</v>
      </c>
      <c r="H31" s="66">
        <f t="shared" si="0"/>
        <v>60000</v>
      </c>
      <c r="I31" s="40" t="s">
        <v>835</v>
      </c>
      <c r="J31" s="40" t="s">
        <v>836</v>
      </c>
      <c r="K31" s="119" t="s">
        <v>985</v>
      </c>
      <c r="L31" s="40" t="s">
        <v>71</v>
      </c>
      <c r="M31" s="40" t="s">
        <v>918</v>
      </c>
    </row>
    <row r="32" spans="1:13" ht="48" x14ac:dyDescent="0.25">
      <c r="A32" s="40">
        <v>29</v>
      </c>
      <c r="B32" s="40">
        <v>2012590</v>
      </c>
      <c r="C32" s="164" t="s">
        <v>895</v>
      </c>
      <c r="D32" s="51" t="s">
        <v>695</v>
      </c>
      <c r="E32" s="40">
        <v>1</v>
      </c>
      <c r="F32" s="139" t="s">
        <v>914</v>
      </c>
      <c r="G32" s="141">
        <v>18000</v>
      </c>
      <c r="H32" s="66">
        <f t="shared" si="0"/>
        <v>18000</v>
      </c>
      <c r="I32" s="40" t="s">
        <v>835</v>
      </c>
      <c r="J32" s="40" t="s">
        <v>836</v>
      </c>
      <c r="K32" s="119" t="s">
        <v>985</v>
      </c>
      <c r="L32" s="40" t="s">
        <v>71</v>
      </c>
      <c r="M32" s="40" t="s">
        <v>918</v>
      </c>
    </row>
    <row r="33" spans="1:13" ht="48" x14ac:dyDescent="0.25">
      <c r="A33" s="40">
        <v>30</v>
      </c>
      <c r="B33" s="40">
        <v>2012590</v>
      </c>
      <c r="C33" s="164" t="s">
        <v>896</v>
      </c>
      <c r="D33" s="51" t="s">
        <v>695</v>
      </c>
      <c r="E33" s="40">
        <v>1</v>
      </c>
      <c r="F33" s="139" t="s">
        <v>4</v>
      </c>
      <c r="G33" s="141">
        <v>180000</v>
      </c>
      <c r="H33" s="66">
        <f t="shared" si="0"/>
        <v>180000</v>
      </c>
      <c r="I33" s="40" t="s">
        <v>835</v>
      </c>
      <c r="J33" s="40" t="s">
        <v>836</v>
      </c>
      <c r="K33" s="119" t="s">
        <v>985</v>
      </c>
      <c r="L33" s="40" t="s">
        <v>71</v>
      </c>
      <c r="M33" s="40" t="s">
        <v>918</v>
      </c>
    </row>
    <row r="34" spans="1:13" ht="48" x14ac:dyDescent="0.25">
      <c r="A34" s="40">
        <v>31</v>
      </c>
      <c r="B34" s="40">
        <v>2012590</v>
      </c>
      <c r="C34" s="164" t="s">
        <v>897</v>
      </c>
      <c r="D34" s="51" t="s">
        <v>695</v>
      </c>
      <c r="E34" s="40">
        <v>1</v>
      </c>
      <c r="F34" s="139" t="s">
        <v>4</v>
      </c>
      <c r="G34" s="141">
        <v>25000</v>
      </c>
      <c r="H34" s="66">
        <f t="shared" si="0"/>
        <v>25000</v>
      </c>
      <c r="I34" s="40" t="s">
        <v>835</v>
      </c>
      <c r="J34" s="40" t="s">
        <v>836</v>
      </c>
      <c r="K34" s="119" t="s">
        <v>985</v>
      </c>
      <c r="L34" s="40" t="s">
        <v>71</v>
      </c>
      <c r="M34" s="40" t="s">
        <v>918</v>
      </c>
    </row>
    <row r="35" spans="1:13" ht="48" x14ac:dyDescent="0.25">
      <c r="A35" s="40">
        <v>32</v>
      </c>
      <c r="B35" s="40">
        <v>2012590</v>
      </c>
      <c r="C35" s="166" t="s">
        <v>898</v>
      </c>
      <c r="D35" s="51" t="s">
        <v>695</v>
      </c>
      <c r="E35" s="40">
        <v>1</v>
      </c>
      <c r="F35" s="139" t="s">
        <v>4</v>
      </c>
      <c r="G35" s="141">
        <v>16000</v>
      </c>
      <c r="H35" s="66">
        <f t="shared" si="0"/>
        <v>16000</v>
      </c>
      <c r="I35" s="40" t="s">
        <v>835</v>
      </c>
      <c r="J35" s="40" t="s">
        <v>836</v>
      </c>
      <c r="K35" s="119" t="s">
        <v>985</v>
      </c>
      <c r="L35" s="40" t="s">
        <v>71</v>
      </c>
      <c r="M35" s="40" t="s">
        <v>918</v>
      </c>
    </row>
    <row r="36" spans="1:13" ht="48" x14ac:dyDescent="0.25">
      <c r="A36" s="40">
        <v>33</v>
      </c>
      <c r="B36" s="40">
        <v>2012590</v>
      </c>
      <c r="C36" s="164" t="s">
        <v>899</v>
      </c>
      <c r="D36" s="51" t="s">
        <v>695</v>
      </c>
      <c r="E36" s="40">
        <v>1</v>
      </c>
      <c r="F36" s="139" t="s">
        <v>916</v>
      </c>
      <c r="G36" s="141">
        <v>28000</v>
      </c>
      <c r="H36" s="66">
        <f t="shared" si="0"/>
        <v>28000</v>
      </c>
      <c r="I36" s="40" t="s">
        <v>835</v>
      </c>
      <c r="J36" s="40" t="s">
        <v>836</v>
      </c>
      <c r="K36" s="119" t="s">
        <v>985</v>
      </c>
      <c r="L36" s="40" t="s">
        <v>71</v>
      </c>
      <c r="M36" s="40" t="s">
        <v>918</v>
      </c>
    </row>
    <row r="37" spans="1:13" ht="48" x14ac:dyDescent="0.25">
      <c r="A37" s="40">
        <v>34</v>
      </c>
      <c r="B37" s="40">
        <v>2012590</v>
      </c>
      <c r="C37" s="164" t="s">
        <v>900</v>
      </c>
      <c r="D37" s="51" t="s">
        <v>695</v>
      </c>
      <c r="E37" s="40">
        <v>1</v>
      </c>
      <c r="F37" s="139" t="s">
        <v>171</v>
      </c>
      <c r="G37" s="141">
        <v>8600</v>
      </c>
      <c r="H37" s="66">
        <f t="shared" si="0"/>
        <v>8600</v>
      </c>
      <c r="I37" s="40" t="s">
        <v>835</v>
      </c>
      <c r="J37" s="40" t="s">
        <v>836</v>
      </c>
      <c r="K37" s="119" t="s">
        <v>985</v>
      </c>
      <c r="L37" s="40" t="s">
        <v>71</v>
      </c>
      <c r="M37" s="40" t="s">
        <v>918</v>
      </c>
    </row>
    <row r="38" spans="1:13" ht="48" x14ac:dyDescent="0.25">
      <c r="A38" s="40">
        <v>35</v>
      </c>
      <c r="B38" s="40">
        <v>2012590</v>
      </c>
      <c r="C38" s="164" t="s">
        <v>901</v>
      </c>
      <c r="D38" s="51" t="s">
        <v>695</v>
      </c>
      <c r="E38" s="40">
        <v>1</v>
      </c>
      <c r="F38" s="143" t="s">
        <v>171</v>
      </c>
      <c r="G38" s="141">
        <v>8600</v>
      </c>
      <c r="H38" s="66">
        <f t="shared" si="0"/>
        <v>8600</v>
      </c>
      <c r="I38" s="40" t="s">
        <v>835</v>
      </c>
      <c r="J38" s="40" t="s">
        <v>836</v>
      </c>
      <c r="K38" s="119" t="s">
        <v>985</v>
      </c>
      <c r="L38" s="40" t="s">
        <v>71</v>
      </c>
      <c r="M38" s="40" t="s">
        <v>918</v>
      </c>
    </row>
    <row r="39" spans="1:13" ht="48" x14ac:dyDescent="0.25">
      <c r="A39" s="40">
        <v>36</v>
      </c>
      <c r="B39" s="40">
        <v>2012590</v>
      </c>
      <c r="C39" s="164" t="s">
        <v>902</v>
      </c>
      <c r="D39" s="51" t="s">
        <v>695</v>
      </c>
      <c r="E39" s="40">
        <v>1</v>
      </c>
      <c r="F39" s="142" t="s">
        <v>171</v>
      </c>
      <c r="G39" s="141">
        <v>265000</v>
      </c>
      <c r="H39" s="66">
        <f t="shared" si="0"/>
        <v>265000</v>
      </c>
      <c r="I39" s="40" t="s">
        <v>835</v>
      </c>
      <c r="J39" s="40" t="s">
        <v>836</v>
      </c>
      <c r="K39" s="119" t="s">
        <v>985</v>
      </c>
      <c r="L39" s="40" t="s">
        <v>71</v>
      </c>
      <c r="M39" s="40" t="s">
        <v>918</v>
      </c>
    </row>
    <row r="40" spans="1:13" ht="48" x14ac:dyDescent="0.25">
      <c r="A40" s="40">
        <v>37</v>
      </c>
      <c r="B40" s="40">
        <v>2012590</v>
      </c>
      <c r="C40" s="164" t="s">
        <v>903</v>
      </c>
      <c r="D40" s="51" t="s">
        <v>695</v>
      </c>
      <c r="E40" s="40">
        <v>1</v>
      </c>
      <c r="F40" s="139" t="s">
        <v>171</v>
      </c>
      <c r="G40" s="141">
        <v>240000</v>
      </c>
      <c r="H40" s="66">
        <f t="shared" si="0"/>
        <v>240000</v>
      </c>
      <c r="I40" s="40" t="s">
        <v>835</v>
      </c>
      <c r="J40" s="40" t="s">
        <v>836</v>
      </c>
      <c r="K40" s="119" t="s">
        <v>985</v>
      </c>
      <c r="L40" s="40" t="s">
        <v>71</v>
      </c>
      <c r="M40" s="40" t="s">
        <v>918</v>
      </c>
    </row>
    <row r="41" spans="1:13" ht="48" x14ac:dyDescent="0.25">
      <c r="A41" s="40">
        <v>38</v>
      </c>
      <c r="B41" s="40">
        <v>2012590</v>
      </c>
      <c r="C41" s="164" t="s">
        <v>904</v>
      </c>
      <c r="D41" s="51" t="s">
        <v>695</v>
      </c>
      <c r="E41" s="40">
        <v>1</v>
      </c>
      <c r="F41" s="139" t="s">
        <v>4</v>
      </c>
      <c r="G41" s="141">
        <v>70000</v>
      </c>
      <c r="H41" s="66">
        <f t="shared" si="0"/>
        <v>70000</v>
      </c>
      <c r="I41" s="40" t="s">
        <v>835</v>
      </c>
      <c r="J41" s="40" t="s">
        <v>836</v>
      </c>
      <c r="K41" s="119" t="s">
        <v>985</v>
      </c>
      <c r="L41" s="40" t="s">
        <v>71</v>
      </c>
      <c r="M41" s="40" t="s">
        <v>918</v>
      </c>
    </row>
    <row r="42" spans="1:13" ht="48" x14ac:dyDescent="0.25">
      <c r="A42" s="40">
        <v>39</v>
      </c>
      <c r="B42" s="40">
        <v>2012590</v>
      </c>
      <c r="C42" s="164" t="s">
        <v>905</v>
      </c>
      <c r="D42" s="51" t="s">
        <v>695</v>
      </c>
      <c r="E42" s="40">
        <v>1</v>
      </c>
      <c r="F42" s="139" t="s">
        <v>4</v>
      </c>
      <c r="G42" s="141">
        <v>155000</v>
      </c>
      <c r="H42" s="66">
        <f t="shared" si="0"/>
        <v>155000</v>
      </c>
      <c r="I42" s="40" t="s">
        <v>835</v>
      </c>
      <c r="J42" s="40" t="s">
        <v>836</v>
      </c>
      <c r="K42" s="119" t="s">
        <v>985</v>
      </c>
      <c r="L42" s="40" t="s">
        <v>71</v>
      </c>
      <c r="M42" s="40" t="s">
        <v>918</v>
      </c>
    </row>
    <row r="43" spans="1:13" ht="48" x14ac:dyDescent="0.25">
      <c r="A43" s="40">
        <v>40</v>
      </c>
      <c r="B43" s="40">
        <v>2012590</v>
      </c>
      <c r="C43" s="164" t="s">
        <v>906</v>
      </c>
      <c r="D43" s="51" t="s">
        <v>695</v>
      </c>
      <c r="E43" s="40">
        <v>1</v>
      </c>
      <c r="F43" s="139" t="s">
        <v>215</v>
      </c>
      <c r="G43" s="141">
        <v>1200</v>
      </c>
      <c r="H43" s="66">
        <f t="shared" si="0"/>
        <v>1200</v>
      </c>
      <c r="I43" s="40" t="s">
        <v>835</v>
      </c>
      <c r="J43" s="40" t="s">
        <v>836</v>
      </c>
      <c r="K43" s="119" t="s">
        <v>985</v>
      </c>
      <c r="L43" s="40" t="s">
        <v>71</v>
      </c>
      <c r="M43" s="40" t="s">
        <v>918</v>
      </c>
    </row>
    <row r="44" spans="1:13" ht="48" x14ac:dyDescent="0.25">
      <c r="A44" s="40">
        <v>41</v>
      </c>
      <c r="B44" s="40">
        <v>2012590</v>
      </c>
      <c r="C44" s="164" t="s">
        <v>907</v>
      </c>
      <c r="D44" s="51" t="s">
        <v>695</v>
      </c>
      <c r="E44" s="40">
        <v>1</v>
      </c>
      <c r="F44" s="139" t="s">
        <v>4</v>
      </c>
      <c r="G44" s="141">
        <v>15000</v>
      </c>
      <c r="H44" s="66">
        <f t="shared" si="0"/>
        <v>15000</v>
      </c>
      <c r="I44" s="40" t="s">
        <v>835</v>
      </c>
      <c r="J44" s="40" t="s">
        <v>836</v>
      </c>
      <c r="K44" s="119" t="s">
        <v>985</v>
      </c>
      <c r="L44" s="40" t="s">
        <v>71</v>
      </c>
      <c r="M44" s="40" t="s">
        <v>918</v>
      </c>
    </row>
    <row r="45" spans="1:13" ht="48" x14ac:dyDescent="0.25">
      <c r="A45" s="40">
        <v>42</v>
      </c>
      <c r="B45" s="40"/>
      <c r="C45" s="164" t="s">
        <v>908</v>
      </c>
      <c r="D45" s="51" t="s">
        <v>695</v>
      </c>
      <c r="E45" s="40">
        <v>1</v>
      </c>
      <c r="F45" s="139" t="s">
        <v>4</v>
      </c>
      <c r="G45" s="141">
        <v>90000</v>
      </c>
      <c r="H45" s="66">
        <f t="shared" si="0"/>
        <v>90000</v>
      </c>
      <c r="I45" s="40" t="s">
        <v>835</v>
      </c>
      <c r="J45" s="40" t="s">
        <v>836</v>
      </c>
      <c r="K45" s="119" t="s">
        <v>985</v>
      </c>
      <c r="L45" s="40" t="s">
        <v>71</v>
      </c>
      <c r="M45" s="40" t="s">
        <v>918</v>
      </c>
    </row>
    <row r="46" spans="1:13" ht="48" x14ac:dyDescent="0.25">
      <c r="A46" s="40">
        <v>43</v>
      </c>
      <c r="B46" s="40"/>
      <c r="C46" s="164" t="s">
        <v>909</v>
      </c>
      <c r="D46" s="51" t="s">
        <v>695</v>
      </c>
      <c r="E46" s="40">
        <v>1</v>
      </c>
      <c r="F46" s="139" t="s">
        <v>4</v>
      </c>
      <c r="G46" s="141">
        <v>22000</v>
      </c>
      <c r="H46" s="66">
        <f t="shared" si="0"/>
        <v>22000</v>
      </c>
      <c r="I46" s="40" t="s">
        <v>835</v>
      </c>
      <c r="J46" s="40" t="s">
        <v>836</v>
      </c>
      <c r="K46" s="119" t="s">
        <v>985</v>
      </c>
      <c r="L46" s="40" t="s">
        <v>71</v>
      </c>
      <c r="M46" s="40" t="s">
        <v>918</v>
      </c>
    </row>
    <row r="47" spans="1:13" ht="48" x14ac:dyDescent="0.25">
      <c r="A47" s="40">
        <v>44</v>
      </c>
      <c r="B47" s="40"/>
      <c r="C47" s="164" t="s">
        <v>910</v>
      </c>
      <c r="D47" s="51" t="s">
        <v>695</v>
      </c>
      <c r="E47" s="40">
        <v>1</v>
      </c>
      <c r="F47" s="139" t="s">
        <v>4</v>
      </c>
      <c r="G47" s="141">
        <v>600000</v>
      </c>
      <c r="H47" s="66">
        <f t="shared" si="0"/>
        <v>600000</v>
      </c>
      <c r="I47" s="40" t="s">
        <v>835</v>
      </c>
      <c r="J47" s="40" t="s">
        <v>836</v>
      </c>
      <c r="K47" s="119" t="s">
        <v>985</v>
      </c>
      <c r="L47" s="40" t="s">
        <v>71</v>
      </c>
      <c r="M47" s="40" t="s">
        <v>918</v>
      </c>
    </row>
    <row r="48" spans="1:13" ht="48" x14ac:dyDescent="0.25">
      <c r="A48" s="40">
        <v>45</v>
      </c>
      <c r="B48" s="40"/>
      <c r="C48" s="164" t="s">
        <v>911</v>
      </c>
      <c r="D48" s="51" t="s">
        <v>695</v>
      </c>
      <c r="E48" s="40">
        <v>1</v>
      </c>
      <c r="F48" s="139" t="s">
        <v>4</v>
      </c>
      <c r="G48" s="141">
        <v>2000</v>
      </c>
      <c r="H48" s="66">
        <f t="shared" si="0"/>
        <v>2000</v>
      </c>
      <c r="I48" s="40" t="s">
        <v>835</v>
      </c>
      <c r="J48" s="40" t="s">
        <v>836</v>
      </c>
      <c r="K48" s="119" t="s">
        <v>985</v>
      </c>
      <c r="L48" s="40" t="s">
        <v>71</v>
      </c>
      <c r="M48" s="40" t="s">
        <v>918</v>
      </c>
    </row>
    <row r="49" spans="1:13" ht="48" x14ac:dyDescent="0.25">
      <c r="A49" s="40">
        <v>46</v>
      </c>
      <c r="B49" s="40"/>
      <c r="C49" s="164" t="s">
        <v>912</v>
      </c>
      <c r="D49" s="51" t="s">
        <v>695</v>
      </c>
      <c r="E49" s="40">
        <v>1</v>
      </c>
      <c r="F49" s="139" t="s">
        <v>4</v>
      </c>
      <c r="G49" s="141">
        <v>4000</v>
      </c>
      <c r="H49" s="66">
        <f t="shared" si="0"/>
        <v>4000</v>
      </c>
      <c r="I49" s="40" t="s">
        <v>835</v>
      </c>
      <c r="J49" s="40" t="s">
        <v>836</v>
      </c>
      <c r="K49" s="119" t="s">
        <v>985</v>
      </c>
      <c r="L49" s="40" t="s">
        <v>71</v>
      </c>
      <c r="M49" s="40" t="s">
        <v>918</v>
      </c>
    </row>
    <row r="50" spans="1:13" ht="48" x14ac:dyDescent="0.25">
      <c r="A50" s="40">
        <v>47</v>
      </c>
      <c r="B50" s="40"/>
      <c r="C50" s="164" t="s">
        <v>913</v>
      </c>
      <c r="D50" s="51" t="s">
        <v>695</v>
      </c>
      <c r="E50" s="40">
        <v>1</v>
      </c>
      <c r="F50" s="139" t="s">
        <v>4</v>
      </c>
      <c r="G50" s="141">
        <v>11000</v>
      </c>
      <c r="H50" s="66">
        <f t="shared" si="0"/>
        <v>11000</v>
      </c>
      <c r="I50" s="40" t="s">
        <v>835</v>
      </c>
      <c r="J50" s="40" t="s">
        <v>836</v>
      </c>
      <c r="K50" s="119" t="s">
        <v>985</v>
      </c>
      <c r="L50" s="40" t="s">
        <v>71</v>
      </c>
      <c r="M50" s="40" t="s">
        <v>918</v>
      </c>
    </row>
    <row r="51" spans="1:13" x14ac:dyDescent="0.25">
      <c r="A51" s="11"/>
      <c r="B51" s="11"/>
      <c r="C51" s="11"/>
      <c r="D51" s="167"/>
      <c r="E51" s="11"/>
      <c r="F51" s="11"/>
      <c r="G51" s="11"/>
      <c r="H51" s="11"/>
      <c r="I51" s="11"/>
      <c r="J51" s="11"/>
      <c r="K51" s="11"/>
      <c r="L51" s="11"/>
      <c r="M51" s="11"/>
    </row>
    <row r="52" spans="1:13" x14ac:dyDescent="0.25">
      <c r="A52" s="11"/>
      <c r="B52" s="11"/>
      <c r="C52" s="11"/>
      <c r="D52" s="11"/>
      <c r="E52" s="11"/>
      <c r="F52" s="11"/>
      <c r="G52" s="11"/>
      <c r="H52" s="11"/>
      <c r="I52" s="11"/>
      <c r="J52" s="11"/>
      <c r="K52" s="11"/>
      <c r="L52" s="11"/>
      <c r="M52" s="11"/>
    </row>
  </sheetData>
  <mergeCells count="3">
    <mergeCell ref="A1:M1"/>
    <mergeCell ref="A2:D2"/>
    <mergeCell ref="K2:M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workbookViewId="0">
      <selection sqref="A1:L1"/>
    </sheetView>
  </sheetViews>
  <sheetFormatPr baseColWidth="10" defaultRowHeight="15" x14ac:dyDescent="0.25"/>
  <cols>
    <col min="1" max="1" width="7.28515625" customWidth="1"/>
    <col min="2" max="2" width="26.42578125" customWidth="1"/>
    <col min="3" max="3" width="10.42578125" customWidth="1"/>
    <col min="4" max="4" width="6.7109375" customWidth="1"/>
    <col min="5" max="5" width="7.42578125" customWidth="1"/>
    <col min="6" max="6" width="9.28515625" customWidth="1"/>
    <col min="9" max="9" width="8" customWidth="1"/>
    <col min="12" max="12" width="16" customWidth="1"/>
  </cols>
  <sheetData>
    <row r="1" spans="1:12" ht="15.75" x14ac:dyDescent="0.25">
      <c r="A1" s="196" t="s">
        <v>1111</v>
      </c>
      <c r="B1" s="196"/>
      <c r="C1" s="197"/>
      <c r="D1" s="197"/>
      <c r="E1" s="197"/>
      <c r="F1" s="197"/>
      <c r="G1" s="197"/>
      <c r="H1" s="197"/>
      <c r="I1" s="197"/>
      <c r="J1" s="197"/>
      <c r="K1" s="197"/>
      <c r="L1" s="197"/>
    </row>
    <row r="2" spans="1:12" ht="15.75" x14ac:dyDescent="0.25">
      <c r="A2" s="216" t="s">
        <v>993</v>
      </c>
      <c r="B2" s="217"/>
      <c r="C2" s="217"/>
      <c r="D2" s="91"/>
      <c r="E2" s="91"/>
      <c r="F2" s="91"/>
      <c r="G2" s="91"/>
      <c r="H2" s="91"/>
      <c r="I2" s="91"/>
      <c r="J2" s="199" t="s">
        <v>992</v>
      </c>
      <c r="K2" s="199"/>
      <c r="L2" s="200"/>
    </row>
    <row r="3" spans="1:12" ht="45" x14ac:dyDescent="0.25">
      <c r="A3" s="17" t="s">
        <v>0</v>
      </c>
      <c r="B3" s="17" t="s">
        <v>1</v>
      </c>
      <c r="C3" s="17" t="s">
        <v>2</v>
      </c>
      <c r="D3" s="17" t="s">
        <v>3</v>
      </c>
      <c r="E3" s="17" t="s">
        <v>4</v>
      </c>
      <c r="F3" s="17" t="s">
        <v>963</v>
      </c>
      <c r="G3" s="17" t="s">
        <v>988</v>
      </c>
      <c r="H3" s="17" t="s">
        <v>6</v>
      </c>
      <c r="I3" s="17" t="s">
        <v>7</v>
      </c>
      <c r="J3" s="17" t="s">
        <v>926</v>
      </c>
      <c r="K3" s="17" t="s">
        <v>8</v>
      </c>
      <c r="L3" s="17" t="s">
        <v>10</v>
      </c>
    </row>
    <row r="4" spans="1:12" ht="84" x14ac:dyDescent="0.25">
      <c r="A4" s="40">
        <v>1</v>
      </c>
      <c r="B4" s="40" t="s">
        <v>987</v>
      </c>
      <c r="C4" s="40" t="s">
        <v>989</v>
      </c>
      <c r="D4" s="40">
        <f>20+115+125</f>
        <v>260</v>
      </c>
      <c r="E4" s="40" t="s">
        <v>12</v>
      </c>
      <c r="F4" s="66">
        <f>134550000/260</f>
        <v>517500</v>
      </c>
      <c r="G4" s="66">
        <f>D4*F4</f>
        <v>134550000</v>
      </c>
      <c r="H4" s="40" t="s">
        <v>715</v>
      </c>
      <c r="I4" s="40" t="s">
        <v>836</v>
      </c>
      <c r="J4" s="119" t="s">
        <v>990</v>
      </c>
      <c r="K4" s="40" t="s">
        <v>71</v>
      </c>
      <c r="L4" s="51" t="s">
        <v>991</v>
      </c>
    </row>
    <row r="5" spans="1:12" x14ac:dyDescent="0.25">
      <c r="A5" s="1"/>
      <c r="B5" s="1"/>
      <c r="C5" s="1"/>
      <c r="D5" s="1"/>
      <c r="E5" s="1"/>
      <c r="F5" s="1"/>
      <c r="G5" s="1"/>
      <c r="H5" s="1"/>
      <c r="I5" s="1"/>
      <c r="J5" s="1"/>
      <c r="K5" s="1"/>
      <c r="L5" s="1"/>
    </row>
  </sheetData>
  <mergeCells count="3">
    <mergeCell ref="A1:L1"/>
    <mergeCell ref="A2:C2"/>
    <mergeCell ref="J2:L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5"/>
  <sheetViews>
    <sheetView workbookViewId="0">
      <selection activeCell="S9" sqref="S9"/>
    </sheetView>
  </sheetViews>
  <sheetFormatPr baseColWidth="10" defaultRowHeight="15" x14ac:dyDescent="0.25"/>
  <cols>
    <col min="1" max="1" width="7.28515625" customWidth="1"/>
    <col min="2" max="2" width="19.42578125" customWidth="1"/>
    <col min="3" max="3" width="13.42578125" customWidth="1"/>
    <col min="4" max="4" width="6.7109375" customWidth="1"/>
    <col min="5" max="5" width="7" customWidth="1"/>
    <col min="6" max="6" width="11" customWidth="1"/>
    <col min="7" max="7" width="10.140625" customWidth="1"/>
    <col min="12" max="12" width="13.5703125" customWidth="1"/>
  </cols>
  <sheetData>
    <row r="1" spans="1:12" ht="15.75" x14ac:dyDescent="0.25">
      <c r="A1" s="218" t="s">
        <v>1112</v>
      </c>
      <c r="B1" s="219"/>
      <c r="C1" s="219"/>
      <c r="D1" s="219"/>
      <c r="E1" s="219"/>
      <c r="F1" s="219"/>
      <c r="G1" s="219"/>
      <c r="H1" s="219"/>
      <c r="I1" s="219"/>
      <c r="J1" s="219"/>
      <c r="K1" s="219"/>
      <c r="L1" s="220"/>
    </row>
    <row r="2" spans="1:12" ht="15.75" x14ac:dyDescent="0.25">
      <c r="A2" s="221" t="s">
        <v>995</v>
      </c>
      <c r="B2" s="222"/>
      <c r="C2" s="222"/>
      <c r="D2" s="144"/>
      <c r="E2" s="144"/>
      <c r="F2" s="144"/>
      <c r="G2" s="144"/>
      <c r="H2" s="144"/>
      <c r="I2" s="222" t="s">
        <v>996</v>
      </c>
      <c r="J2" s="222"/>
      <c r="K2" s="222"/>
      <c r="L2" s="223"/>
    </row>
    <row r="3" spans="1:12" ht="45" x14ac:dyDescent="0.25">
      <c r="A3" s="17" t="s">
        <v>0</v>
      </c>
      <c r="B3" s="17" t="s">
        <v>1</v>
      </c>
      <c r="C3" s="17" t="s">
        <v>2</v>
      </c>
      <c r="D3" s="17" t="s">
        <v>3</v>
      </c>
      <c r="E3" s="17" t="s">
        <v>4</v>
      </c>
      <c r="F3" s="17" t="s">
        <v>352</v>
      </c>
      <c r="G3" s="145" t="s">
        <v>9</v>
      </c>
      <c r="H3" s="17" t="s">
        <v>6</v>
      </c>
      <c r="I3" s="17" t="s">
        <v>7</v>
      </c>
      <c r="J3" s="17" t="s">
        <v>926</v>
      </c>
      <c r="K3" s="17" t="s">
        <v>8</v>
      </c>
      <c r="L3" s="17" t="s">
        <v>10</v>
      </c>
    </row>
    <row r="4" spans="1:12" ht="24" x14ac:dyDescent="0.25">
      <c r="A4" s="83">
        <v>1</v>
      </c>
      <c r="B4" s="118" t="s">
        <v>457</v>
      </c>
      <c r="C4" s="40" t="s">
        <v>695</v>
      </c>
      <c r="D4" s="123">
        <v>1</v>
      </c>
      <c r="E4" s="123" t="s">
        <v>696</v>
      </c>
      <c r="F4" s="125">
        <f>15000*3.5%+15000</f>
        <v>15525</v>
      </c>
      <c r="G4" s="150">
        <f>D4*F4</f>
        <v>15525</v>
      </c>
      <c r="H4" s="83" t="s">
        <v>715</v>
      </c>
      <c r="I4" s="40" t="s">
        <v>716</v>
      </c>
      <c r="J4" s="129" t="s">
        <v>994</v>
      </c>
      <c r="K4" s="40" t="s">
        <v>71</v>
      </c>
      <c r="L4" s="40" t="s">
        <v>717</v>
      </c>
    </row>
    <row r="5" spans="1:12" ht="24" x14ac:dyDescent="0.25">
      <c r="A5" s="83">
        <v>2</v>
      </c>
      <c r="B5" s="118" t="s">
        <v>458</v>
      </c>
      <c r="C5" s="40" t="s">
        <v>695</v>
      </c>
      <c r="D5" s="123">
        <v>1</v>
      </c>
      <c r="E5" s="148" t="s">
        <v>696</v>
      </c>
      <c r="F5" s="125">
        <f>15000*3.5%+15000</f>
        <v>15525</v>
      </c>
      <c r="G5" s="87">
        <f t="shared" ref="G5:G68" si="0">D5*F5</f>
        <v>15525</v>
      </c>
      <c r="H5" s="83" t="s">
        <v>715</v>
      </c>
      <c r="I5" s="40" t="s">
        <v>716</v>
      </c>
      <c r="J5" s="129" t="s">
        <v>994</v>
      </c>
      <c r="K5" s="40" t="s">
        <v>71</v>
      </c>
      <c r="L5" s="40" t="s">
        <v>717</v>
      </c>
    </row>
    <row r="6" spans="1:12" ht="24" x14ac:dyDescent="0.25">
      <c r="A6" s="83">
        <v>3</v>
      </c>
      <c r="B6" s="118" t="s">
        <v>459</v>
      </c>
      <c r="C6" s="40" t="s">
        <v>695</v>
      </c>
      <c r="D6" s="123">
        <v>1</v>
      </c>
      <c r="E6" s="148" t="s">
        <v>696</v>
      </c>
      <c r="F6" s="149">
        <f>1800*3.5%+1800</f>
        <v>1863</v>
      </c>
      <c r="G6" s="87">
        <f t="shared" si="0"/>
        <v>1863</v>
      </c>
      <c r="H6" s="83" t="s">
        <v>715</v>
      </c>
      <c r="I6" s="40" t="s">
        <v>716</v>
      </c>
      <c r="J6" s="129" t="s">
        <v>994</v>
      </c>
      <c r="K6" s="40" t="s">
        <v>71</v>
      </c>
      <c r="L6" s="40" t="s">
        <v>717</v>
      </c>
    </row>
    <row r="7" spans="1:12" ht="24" x14ac:dyDescent="0.25">
      <c r="A7" s="83">
        <v>4</v>
      </c>
      <c r="B7" s="118" t="s">
        <v>460</v>
      </c>
      <c r="C7" s="40" t="s">
        <v>695</v>
      </c>
      <c r="D7" s="123">
        <v>1</v>
      </c>
      <c r="E7" s="148" t="s">
        <v>696</v>
      </c>
      <c r="F7" s="149">
        <f>5500*3.5%+5500</f>
        <v>5692.5</v>
      </c>
      <c r="G7" s="87">
        <f t="shared" si="0"/>
        <v>5692.5</v>
      </c>
      <c r="H7" s="83" t="s">
        <v>715</v>
      </c>
      <c r="I7" s="40" t="s">
        <v>716</v>
      </c>
      <c r="J7" s="129" t="s">
        <v>994</v>
      </c>
      <c r="K7" s="40" t="s">
        <v>71</v>
      </c>
      <c r="L7" s="40" t="s">
        <v>717</v>
      </c>
    </row>
    <row r="8" spans="1:12" ht="24" x14ac:dyDescent="0.25">
      <c r="A8" s="83">
        <v>5</v>
      </c>
      <c r="B8" s="118" t="s">
        <v>461</v>
      </c>
      <c r="C8" s="40" t="s">
        <v>695</v>
      </c>
      <c r="D8" s="123">
        <v>1</v>
      </c>
      <c r="E8" s="148" t="s">
        <v>696</v>
      </c>
      <c r="F8" s="125">
        <f>15000*3.5%+15000</f>
        <v>15525</v>
      </c>
      <c r="G8" s="87">
        <f t="shared" si="0"/>
        <v>15525</v>
      </c>
      <c r="H8" s="83" t="s">
        <v>715</v>
      </c>
      <c r="I8" s="40" t="s">
        <v>716</v>
      </c>
      <c r="J8" s="129" t="s">
        <v>994</v>
      </c>
      <c r="K8" s="40" t="s">
        <v>71</v>
      </c>
      <c r="L8" s="40" t="s">
        <v>717</v>
      </c>
    </row>
    <row r="9" spans="1:12" ht="24" x14ac:dyDescent="0.25">
      <c r="A9" s="83">
        <v>6</v>
      </c>
      <c r="B9" s="118" t="s">
        <v>462</v>
      </c>
      <c r="C9" s="40" t="s">
        <v>695</v>
      </c>
      <c r="D9" s="123">
        <v>1</v>
      </c>
      <c r="E9" s="148" t="s">
        <v>696</v>
      </c>
      <c r="F9" s="149">
        <f>29000*3.5%+29000</f>
        <v>30015</v>
      </c>
      <c r="G9" s="87">
        <f t="shared" si="0"/>
        <v>30015</v>
      </c>
      <c r="H9" s="83" t="s">
        <v>715</v>
      </c>
      <c r="I9" s="40" t="s">
        <v>716</v>
      </c>
      <c r="J9" s="129" t="s">
        <v>994</v>
      </c>
      <c r="K9" s="40" t="s">
        <v>71</v>
      </c>
      <c r="L9" s="40" t="s">
        <v>717</v>
      </c>
    </row>
    <row r="10" spans="1:12" ht="24" x14ac:dyDescent="0.25">
      <c r="A10" s="83">
        <v>7</v>
      </c>
      <c r="B10" s="118" t="s">
        <v>463</v>
      </c>
      <c r="C10" s="40" t="s">
        <v>695</v>
      </c>
      <c r="D10" s="123">
        <v>1</v>
      </c>
      <c r="E10" s="148" t="s">
        <v>696</v>
      </c>
      <c r="F10" s="149">
        <f>1800*3.5%+1800</f>
        <v>1863</v>
      </c>
      <c r="G10" s="87">
        <f t="shared" si="0"/>
        <v>1863</v>
      </c>
      <c r="H10" s="83" t="s">
        <v>715</v>
      </c>
      <c r="I10" s="40" t="s">
        <v>716</v>
      </c>
      <c r="J10" s="129" t="s">
        <v>994</v>
      </c>
      <c r="K10" s="40" t="s">
        <v>71</v>
      </c>
      <c r="L10" s="40" t="s">
        <v>717</v>
      </c>
    </row>
    <row r="11" spans="1:12" ht="24" x14ac:dyDescent="0.25">
      <c r="A11" s="83">
        <v>8</v>
      </c>
      <c r="B11" s="118" t="s">
        <v>464</v>
      </c>
      <c r="C11" s="40" t="s">
        <v>695</v>
      </c>
      <c r="D11" s="123">
        <v>1</v>
      </c>
      <c r="E11" s="148" t="s">
        <v>696</v>
      </c>
      <c r="F11" s="151">
        <f>300*3.5%+300</f>
        <v>310.5</v>
      </c>
      <c r="G11" s="87">
        <f t="shared" si="0"/>
        <v>310.5</v>
      </c>
      <c r="H11" s="83" t="s">
        <v>715</v>
      </c>
      <c r="I11" s="40" t="s">
        <v>716</v>
      </c>
      <c r="J11" s="129" t="s">
        <v>994</v>
      </c>
      <c r="K11" s="40" t="s">
        <v>71</v>
      </c>
      <c r="L11" s="40" t="s">
        <v>717</v>
      </c>
    </row>
    <row r="12" spans="1:12" ht="24" x14ac:dyDescent="0.25">
      <c r="A12" s="83">
        <v>9</v>
      </c>
      <c r="B12" s="118" t="s">
        <v>465</v>
      </c>
      <c r="C12" s="40" t="s">
        <v>695</v>
      </c>
      <c r="D12" s="123">
        <v>1</v>
      </c>
      <c r="E12" s="148" t="s">
        <v>696</v>
      </c>
      <c r="F12" s="149">
        <f>3800*3.5%+3800</f>
        <v>3933</v>
      </c>
      <c r="G12" s="87">
        <f t="shared" si="0"/>
        <v>3933</v>
      </c>
      <c r="H12" s="83" t="s">
        <v>715</v>
      </c>
      <c r="I12" s="40" t="s">
        <v>716</v>
      </c>
      <c r="J12" s="129" t="s">
        <v>994</v>
      </c>
      <c r="K12" s="40" t="s">
        <v>71</v>
      </c>
      <c r="L12" s="40" t="s">
        <v>717</v>
      </c>
    </row>
    <row r="13" spans="1:12" ht="24" x14ac:dyDescent="0.25">
      <c r="A13" s="83">
        <v>10</v>
      </c>
      <c r="B13" s="118" t="s">
        <v>466</v>
      </c>
      <c r="C13" s="40" t="s">
        <v>695</v>
      </c>
      <c r="D13" s="123">
        <v>1</v>
      </c>
      <c r="E13" s="148" t="s">
        <v>696</v>
      </c>
      <c r="F13" s="125">
        <f>15000*3.5%+15000</f>
        <v>15525</v>
      </c>
      <c r="G13" s="87">
        <f t="shared" si="0"/>
        <v>15525</v>
      </c>
      <c r="H13" s="83" t="s">
        <v>715</v>
      </c>
      <c r="I13" s="40" t="s">
        <v>716</v>
      </c>
      <c r="J13" s="129" t="s">
        <v>994</v>
      </c>
      <c r="K13" s="40" t="s">
        <v>71</v>
      </c>
      <c r="L13" s="40" t="s">
        <v>717</v>
      </c>
    </row>
    <row r="14" spans="1:12" ht="24" x14ac:dyDescent="0.25">
      <c r="A14" s="83">
        <v>11</v>
      </c>
      <c r="B14" s="118" t="s">
        <v>467</v>
      </c>
      <c r="C14" s="40" t="s">
        <v>695</v>
      </c>
      <c r="D14" s="123">
        <v>1</v>
      </c>
      <c r="E14" s="148" t="s">
        <v>696</v>
      </c>
      <c r="F14" s="149">
        <f>25000*3.5%+25000</f>
        <v>25875</v>
      </c>
      <c r="G14" s="87">
        <f t="shared" si="0"/>
        <v>25875</v>
      </c>
      <c r="H14" s="83" t="s">
        <v>715</v>
      </c>
      <c r="I14" s="40" t="s">
        <v>716</v>
      </c>
      <c r="J14" s="129" t="s">
        <v>994</v>
      </c>
      <c r="K14" s="40" t="s">
        <v>71</v>
      </c>
      <c r="L14" s="40" t="s">
        <v>717</v>
      </c>
    </row>
    <row r="15" spans="1:12" ht="24" x14ac:dyDescent="0.25">
      <c r="A15" s="83">
        <v>12</v>
      </c>
      <c r="B15" s="118" t="s">
        <v>468</v>
      </c>
      <c r="C15" s="40" t="s">
        <v>695</v>
      </c>
      <c r="D15" s="123">
        <v>1</v>
      </c>
      <c r="E15" s="148" t="s">
        <v>696</v>
      </c>
      <c r="F15" s="149">
        <f>18000*3.5%+18000</f>
        <v>18630</v>
      </c>
      <c r="G15" s="87">
        <f t="shared" si="0"/>
        <v>18630</v>
      </c>
      <c r="H15" s="83" t="s">
        <v>715</v>
      </c>
      <c r="I15" s="40" t="s">
        <v>716</v>
      </c>
      <c r="J15" s="129" t="s">
        <v>994</v>
      </c>
      <c r="K15" s="40" t="s">
        <v>71</v>
      </c>
      <c r="L15" s="40" t="s">
        <v>717</v>
      </c>
    </row>
    <row r="16" spans="1:12" ht="24" x14ac:dyDescent="0.25">
      <c r="A16" s="83">
        <v>13</v>
      </c>
      <c r="B16" s="118" t="s">
        <v>469</v>
      </c>
      <c r="C16" s="40" t="s">
        <v>695</v>
      </c>
      <c r="D16" s="123">
        <v>1</v>
      </c>
      <c r="E16" s="148" t="s">
        <v>696</v>
      </c>
      <c r="F16" s="149">
        <f>18000*3.5%+18000</f>
        <v>18630</v>
      </c>
      <c r="G16" s="87">
        <f t="shared" si="0"/>
        <v>18630</v>
      </c>
      <c r="H16" s="83" t="s">
        <v>715</v>
      </c>
      <c r="I16" s="40" t="s">
        <v>716</v>
      </c>
      <c r="J16" s="129" t="s">
        <v>994</v>
      </c>
      <c r="K16" s="40" t="s">
        <v>71</v>
      </c>
      <c r="L16" s="40" t="s">
        <v>717</v>
      </c>
    </row>
    <row r="17" spans="1:12" ht="24" x14ac:dyDescent="0.25">
      <c r="A17" s="83">
        <v>14</v>
      </c>
      <c r="B17" s="118" t="s">
        <v>470</v>
      </c>
      <c r="C17" s="40" t="s">
        <v>695</v>
      </c>
      <c r="D17" s="123">
        <v>1</v>
      </c>
      <c r="E17" s="148" t="s">
        <v>696</v>
      </c>
      <c r="F17" s="149">
        <f>4000*3.5%+4000</f>
        <v>4140</v>
      </c>
      <c r="G17" s="87">
        <f t="shared" si="0"/>
        <v>4140</v>
      </c>
      <c r="H17" s="83" t="s">
        <v>715</v>
      </c>
      <c r="I17" s="40" t="s">
        <v>716</v>
      </c>
      <c r="J17" s="129" t="s">
        <v>994</v>
      </c>
      <c r="K17" s="40" t="s">
        <v>71</v>
      </c>
      <c r="L17" s="40" t="s">
        <v>717</v>
      </c>
    </row>
    <row r="18" spans="1:12" ht="24" x14ac:dyDescent="0.25">
      <c r="A18" s="83">
        <v>15</v>
      </c>
      <c r="B18" s="118" t="s">
        <v>471</v>
      </c>
      <c r="C18" s="40" t="s">
        <v>695</v>
      </c>
      <c r="D18" s="123">
        <v>1</v>
      </c>
      <c r="E18" s="148" t="s">
        <v>697</v>
      </c>
      <c r="F18" s="149">
        <f>5000*3.5%+5000</f>
        <v>5175</v>
      </c>
      <c r="G18" s="87">
        <f t="shared" si="0"/>
        <v>5175</v>
      </c>
      <c r="H18" s="83" t="s">
        <v>715</v>
      </c>
      <c r="I18" s="40" t="s">
        <v>716</v>
      </c>
      <c r="J18" s="129" t="s">
        <v>994</v>
      </c>
      <c r="K18" s="40" t="s">
        <v>71</v>
      </c>
      <c r="L18" s="40" t="s">
        <v>717</v>
      </c>
    </row>
    <row r="19" spans="1:12" ht="24" x14ac:dyDescent="0.25">
      <c r="A19" s="83">
        <v>16</v>
      </c>
      <c r="B19" s="118" t="s">
        <v>472</v>
      </c>
      <c r="C19" s="40" t="s">
        <v>695</v>
      </c>
      <c r="D19" s="123">
        <v>1</v>
      </c>
      <c r="E19" s="148" t="s">
        <v>696</v>
      </c>
      <c r="F19" s="125">
        <f>15000*3.5%+15000</f>
        <v>15525</v>
      </c>
      <c r="G19" s="87">
        <f t="shared" si="0"/>
        <v>15525</v>
      </c>
      <c r="H19" s="83" t="s">
        <v>715</v>
      </c>
      <c r="I19" s="40" t="s">
        <v>716</v>
      </c>
      <c r="J19" s="129" t="s">
        <v>994</v>
      </c>
      <c r="K19" s="40" t="s">
        <v>71</v>
      </c>
      <c r="L19" s="40" t="s">
        <v>717</v>
      </c>
    </row>
    <row r="20" spans="1:12" ht="24" x14ac:dyDescent="0.25">
      <c r="A20" s="83">
        <v>17</v>
      </c>
      <c r="B20" s="118" t="s">
        <v>473</v>
      </c>
      <c r="C20" s="40" t="s">
        <v>695</v>
      </c>
      <c r="D20" s="123">
        <v>1</v>
      </c>
      <c r="E20" s="148" t="s">
        <v>696</v>
      </c>
      <c r="F20" s="149">
        <f>240000*3.5%+240000</f>
        <v>248400</v>
      </c>
      <c r="G20" s="87">
        <f t="shared" si="0"/>
        <v>248400</v>
      </c>
      <c r="H20" s="83" t="s">
        <v>715</v>
      </c>
      <c r="I20" s="40" t="s">
        <v>716</v>
      </c>
      <c r="J20" s="129" t="s">
        <v>994</v>
      </c>
      <c r="K20" s="40" t="s">
        <v>71</v>
      </c>
      <c r="L20" s="40" t="s">
        <v>717</v>
      </c>
    </row>
    <row r="21" spans="1:12" ht="24" x14ac:dyDescent="0.25">
      <c r="A21" s="83">
        <v>18</v>
      </c>
      <c r="B21" s="118" t="s">
        <v>474</v>
      </c>
      <c r="C21" s="40" t="s">
        <v>695</v>
      </c>
      <c r="D21" s="123">
        <v>1</v>
      </c>
      <c r="E21" s="148" t="s">
        <v>696</v>
      </c>
      <c r="F21" s="149">
        <f>19000*3.5%+19000</f>
        <v>19665</v>
      </c>
      <c r="G21" s="87">
        <f t="shared" si="0"/>
        <v>19665</v>
      </c>
      <c r="H21" s="83" t="s">
        <v>715</v>
      </c>
      <c r="I21" s="40" t="s">
        <v>716</v>
      </c>
      <c r="J21" s="129" t="s">
        <v>994</v>
      </c>
      <c r="K21" s="40" t="s">
        <v>71</v>
      </c>
      <c r="L21" s="40" t="s">
        <v>717</v>
      </c>
    </row>
    <row r="22" spans="1:12" ht="24" x14ac:dyDescent="0.25">
      <c r="A22" s="83">
        <v>19</v>
      </c>
      <c r="B22" s="118" t="s">
        <v>475</v>
      </c>
      <c r="C22" s="40" t="s">
        <v>695</v>
      </c>
      <c r="D22" s="123">
        <v>1</v>
      </c>
      <c r="E22" s="148" t="s">
        <v>696</v>
      </c>
      <c r="F22" s="149">
        <f>45000*3.5%+45000</f>
        <v>46575</v>
      </c>
      <c r="G22" s="87">
        <f t="shared" si="0"/>
        <v>46575</v>
      </c>
      <c r="H22" s="83" t="s">
        <v>715</v>
      </c>
      <c r="I22" s="40" t="s">
        <v>716</v>
      </c>
      <c r="J22" s="129" t="s">
        <v>994</v>
      </c>
      <c r="K22" s="40" t="s">
        <v>71</v>
      </c>
      <c r="L22" s="40" t="s">
        <v>717</v>
      </c>
    </row>
    <row r="23" spans="1:12" ht="24" x14ac:dyDescent="0.25">
      <c r="A23" s="83">
        <v>20</v>
      </c>
      <c r="B23" s="118" t="s">
        <v>476</v>
      </c>
      <c r="C23" s="40" t="s">
        <v>695</v>
      </c>
      <c r="D23" s="123">
        <v>1</v>
      </c>
      <c r="E23" s="148" t="s">
        <v>696</v>
      </c>
      <c r="F23" s="149">
        <f>28000*3.5%+28000</f>
        <v>28980</v>
      </c>
      <c r="G23" s="87">
        <f t="shared" si="0"/>
        <v>28980</v>
      </c>
      <c r="H23" s="83" t="s">
        <v>715</v>
      </c>
      <c r="I23" s="40" t="s">
        <v>716</v>
      </c>
      <c r="J23" s="129" t="s">
        <v>994</v>
      </c>
      <c r="K23" s="40" t="s">
        <v>71</v>
      </c>
      <c r="L23" s="40" t="s">
        <v>717</v>
      </c>
    </row>
    <row r="24" spans="1:12" ht="24" x14ac:dyDescent="0.25">
      <c r="A24" s="83">
        <v>21</v>
      </c>
      <c r="B24" s="118" t="s">
        <v>477</v>
      </c>
      <c r="C24" s="40" t="s">
        <v>695</v>
      </c>
      <c r="D24" s="123">
        <v>1</v>
      </c>
      <c r="E24" s="148" t="s">
        <v>696</v>
      </c>
      <c r="F24" s="125">
        <f>15000*3.5%+15000</f>
        <v>15525</v>
      </c>
      <c r="G24" s="87">
        <f t="shared" si="0"/>
        <v>15525</v>
      </c>
      <c r="H24" s="83" t="s">
        <v>715</v>
      </c>
      <c r="I24" s="40" t="s">
        <v>716</v>
      </c>
      <c r="J24" s="129" t="s">
        <v>994</v>
      </c>
      <c r="K24" s="40" t="s">
        <v>71</v>
      </c>
      <c r="L24" s="40" t="s">
        <v>717</v>
      </c>
    </row>
    <row r="25" spans="1:12" ht="24" x14ac:dyDescent="0.25">
      <c r="A25" s="83">
        <v>22</v>
      </c>
      <c r="B25" s="118" t="s">
        <v>478</v>
      </c>
      <c r="C25" s="40" t="s">
        <v>695</v>
      </c>
      <c r="D25" s="123">
        <v>1</v>
      </c>
      <c r="E25" s="148" t="s">
        <v>696</v>
      </c>
      <c r="F25" s="149">
        <f>39000*3.5%+39000</f>
        <v>40365</v>
      </c>
      <c r="G25" s="87">
        <f t="shared" si="0"/>
        <v>40365</v>
      </c>
      <c r="H25" s="83" t="s">
        <v>715</v>
      </c>
      <c r="I25" s="40" t="s">
        <v>716</v>
      </c>
      <c r="J25" s="129" t="s">
        <v>994</v>
      </c>
      <c r="K25" s="40" t="s">
        <v>71</v>
      </c>
      <c r="L25" s="40" t="s">
        <v>717</v>
      </c>
    </row>
    <row r="26" spans="1:12" ht="24" x14ac:dyDescent="0.25">
      <c r="A26" s="83">
        <v>23</v>
      </c>
      <c r="B26" s="118" t="s">
        <v>479</v>
      </c>
      <c r="C26" s="40" t="s">
        <v>695</v>
      </c>
      <c r="D26" s="123">
        <v>1</v>
      </c>
      <c r="E26" s="148" t="s">
        <v>696</v>
      </c>
      <c r="F26" s="149">
        <f>98000*3.5%+98000</f>
        <v>101430</v>
      </c>
      <c r="G26" s="87">
        <f t="shared" si="0"/>
        <v>101430</v>
      </c>
      <c r="H26" s="83" t="s">
        <v>715</v>
      </c>
      <c r="I26" s="40" t="s">
        <v>716</v>
      </c>
      <c r="J26" s="129" t="s">
        <v>994</v>
      </c>
      <c r="K26" s="40" t="s">
        <v>71</v>
      </c>
      <c r="L26" s="40" t="s">
        <v>717</v>
      </c>
    </row>
    <row r="27" spans="1:12" ht="24" x14ac:dyDescent="0.25">
      <c r="A27" s="83">
        <v>24</v>
      </c>
      <c r="B27" s="118" t="s">
        <v>480</v>
      </c>
      <c r="C27" s="40" t="s">
        <v>695</v>
      </c>
      <c r="D27" s="123">
        <v>1</v>
      </c>
      <c r="E27" s="148" t="s">
        <v>696</v>
      </c>
      <c r="F27" s="149">
        <f>298000*3.5%+298000</f>
        <v>308430</v>
      </c>
      <c r="G27" s="87">
        <f t="shared" si="0"/>
        <v>308430</v>
      </c>
      <c r="H27" s="83" t="s">
        <v>715</v>
      </c>
      <c r="I27" s="40" t="s">
        <v>716</v>
      </c>
      <c r="J27" s="129" t="s">
        <v>994</v>
      </c>
      <c r="K27" s="40" t="s">
        <v>71</v>
      </c>
      <c r="L27" s="40" t="s">
        <v>717</v>
      </c>
    </row>
    <row r="28" spans="1:12" ht="24" x14ac:dyDescent="0.25">
      <c r="A28" s="83">
        <v>25</v>
      </c>
      <c r="B28" s="118" t="s">
        <v>481</v>
      </c>
      <c r="C28" s="40" t="s">
        <v>695</v>
      </c>
      <c r="D28" s="123">
        <v>1</v>
      </c>
      <c r="E28" s="148" t="s">
        <v>696</v>
      </c>
      <c r="F28" s="149">
        <f>3800*3.5%+3800</f>
        <v>3933</v>
      </c>
      <c r="G28" s="87">
        <f t="shared" si="0"/>
        <v>3933</v>
      </c>
      <c r="H28" s="83" t="s">
        <v>715</v>
      </c>
      <c r="I28" s="40" t="s">
        <v>716</v>
      </c>
      <c r="J28" s="129" t="s">
        <v>994</v>
      </c>
      <c r="K28" s="40" t="s">
        <v>71</v>
      </c>
      <c r="L28" s="40" t="s">
        <v>717</v>
      </c>
    </row>
    <row r="29" spans="1:12" ht="24" x14ac:dyDescent="0.25">
      <c r="A29" s="83">
        <v>26</v>
      </c>
      <c r="B29" s="118" t="s">
        <v>482</v>
      </c>
      <c r="C29" s="40" t="s">
        <v>695</v>
      </c>
      <c r="D29" s="123">
        <v>1</v>
      </c>
      <c r="E29" s="148" t="s">
        <v>696</v>
      </c>
      <c r="F29" s="149">
        <f>3800*3.5%+3800</f>
        <v>3933</v>
      </c>
      <c r="G29" s="87">
        <f t="shared" si="0"/>
        <v>3933</v>
      </c>
      <c r="H29" s="83" t="s">
        <v>715</v>
      </c>
      <c r="I29" s="40" t="s">
        <v>716</v>
      </c>
      <c r="J29" s="129" t="s">
        <v>994</v>
      </c>
      <c r="K29" s="40" t="s">
        <v>71</v>
      </c>
      <c r="L29" s="40" t="s">
        <v>717</v>
      </c>
    </row>
    <row r="30" spans="1:12" ht="24" x14ac:dyDescent="0.25">
      <c r="A30" s="83">
        <v>27</v>
      </c>
      <c r="B30" s="118" t="s">
        <v>483</v>
      </c>
      <c r="C30" s="40" t="s">
        <v>695</v>
      </c>
      <c r="D30" s="123">
        <v>1</v>
      </c>
      <c r="E30" s="148" t="s">
        <v>696</v>
      </c>
      <c r="F30" s="149">
        <f>75000*3.5%+75000</f>
        <v>77625</v>
      </c>
      <c r="G30" s="87">
        <f t="shared" si="0"/>
        <v>77625</v>
      </c>
      <c r="H30" s="83" t="s">
        <v>715</v>
      </c>
      <c r="I30" s="40" t="s">
        <v>716</v>
      </c>
      <c r="J30" s="129" t="s">
        <v>994</v>
      </c>
      <c r="K30" s="40" t="s">
        <v>71</v>
      </c>
      <c r="L30" s="40" t="s">
        <v>717</v>
      </c>
    </row>
    <row r="31" spans="1:12" ht="24" x14ac:dyDescent="0.25">
      <c r="A31" s="83">
        <v>28</v>
      </c>
      <c r="B31" s="118" t="s">
        <v>484</v>
      </c>
      <c r="C31" s="40" t="s">
        <v>695</v>
      </c>
      <c r="D31" s="123">
        <v>1</v>
      </c>
      <c r="E31" s="148" t="s">
        <v>696</v>
      </c>
      <c r="F31" s="149">
        <f>2800*3.5%+2800</f>
        <v>2898</v>
      </c>
      <c r="G31" s="87">
        <f t="shared" si="0"/>
        <v>2898</v>
      </c>
      <c r="H31" s="83" t="s">
        <v>715</v>
      </c>
      <c r="I31" s="40" t="s">
        <v>716</v>
      </c>
      <c r="J31" s="129" t="s">
        <v>994</v>
      </c>
      <c r="K31" s="40" t="s">
        <v>71</v>
      </c>
      <c r="L31" s="40" t="s">
        <v>717</v>
      </c>
    </row>
    <row r="32" spans="1:12" ht="24" x14ac:dyDescent="0.25">
      <c r="A32" s="83">
        <v>29</v>
      </c>
      <c r="B32" s="118" t="s">
        <v>485</v>
      </c>
      <c r="C32" s="40" t="s">
        <v>695</v>
      </c>
      <c r="D32" s="123">
        <v>1</v>
      </c>
      <c r="E32" s="148" t="s">
        <v>696</v>
      </c>
      <c r="F32" s="149">
        <f>3800*3.5%+3800</f>
        <v>3933</v>
      </c>
      <c r="G32" s="87">
        <f t="shared" si="0"/>
        <v>3933</v>
      </c>
      <c r="H32" s="83" t="s">
        <v>715</v>
      </c>
      <c r="I32" s="40" t="s">
        <v>716</v>
      </c>
      <c r="J32" s="129" t="s">
        <v>994</v>
      </c>
      <c r="K32" s="40" t="s">
        <v>71</v>
      </c>
      <c r="L32" s="40" t="s">
        <v>717</v>
      </c>
    </row>
    <row r="33" spans="1:12" ht="24" x14ac:dyDescent="0.25">
      <c r="A33" s="83">
        <v>30</v>
      </c>
      <c r="B33" s="118" t="s">
        <v>486</v>
      </c>
      <c r="C33" s="40" t="s">
        <v>695</v>
      </c>
      <c r="D33" s="123">
        <v>1</v>
      </c>
      <c r="E33" s="148" t="s">
        <v>696</v>
      </c>
      <c r="F33" s="149">
        <f>5500*3.5%+5500</f>
        <v>5692.5</v>
      </c>
      <c r="G33" s="87">
        <f t="shared" si="0"/>
        <v>5692.5</v>
      </c>
      <c r="H33" s="83" t="s">
        <v>715</v>
      </c>
      <c r="I33" s="40" t="s">
        <v>716</v>
      </c>
      <c r="J33" s="129" t="s">
        <v>994</v>
      </c>
      <c r="K33" s="40" t="s">
        <v>71</v>
      </c>
      <c r="L33" s="40" t="s">
        <v>717</v>
      </c>
    </row>
    <row r="34" spans="1:12" ht="24" x14ac:dyDescent="0.25">
      <c r="A34" s="83">
        <v>31</v>
      </c>
      <c r="B34" s="118" t="s">
        <v>487</v>
      </c>
      <c r="C34" s="40" t="s">
        <v>695</v>
      </c>
      <c r="D34" s="123">
        <v>1</v>
      </c>
      <c r="E34" s="148" t="s">
        <v>696</v>
      </c>
      <c r="F34" s="149">
        <f>9500*3.5%+9500</f>
        <v>9832.5</v>
      </c>
      <c r="G34" s="87">
        <f t="shared" si="0"/>
        <v>9832.5</v>
      </c>
      <c r="H34" s="83" t="s">
        <v>715</v>
      </c>
      <c r="I34" s="40" t="s">
        <v>716</v>
      </c>
      <c r="J34" s="129" t="s">
        <v>994</v>
      </c>
      <c r="K34" s="40" t="s">
        <v>71</v>
      </c>
      <c r="L34" s="40" t="s">
        <v>717</v>
      </c>
    </row>
    <row r="35" spans="1:12" ht="24" x14ac:dyDescent="0.25">
      <c r="A35" s="83">
        <v>35</v>
      </c>
      <c r="B35" s="118" t="s">
        <v>488</v>
      </c>
      <c r="C35" s="40" t="s">
        <v>695</v>
      </c>
      <c r="D35" s="123">
        <v>1</v>
      </c>
      <c r="E35" s="148" t="s">
        <v>696</v>
      </c>
      <c r="F35" s="149">
        <f>195000*3.5%+195000</f>
        <v>201825</v>
      </c>
      <c r="G35" s="87">
        <f t="shared" si="0"/>
        <v>201825</v>
      </c>
      <c r="H35" s="83" t="s">
        <v>715</v>
      </c>
      <c r="I35" s="40" t="s">
        <v>716</v>
      </c>
      <c r="J35" s="129" t="s">
        <v>994</v>
      </c>
      <c r="K35" s="40" t="s">
        <v>71</v>
      </c>
      <c r="L35" s="40" t="s">
        <v>717</v>
      </c>
    </row>
    <row r="36" spans="1:12" ht="24" x14ac:dyDescent="0.25">
      <c r="A36" s="83">
        <v>33</v>
      </c>
      <c r="B36" s="118" t="s">
        <v>489</v>
      </c>
      <c r="C36" s="40" t="s">
        <v>695</v>
      </c>
      <c r="D36" s="123">
        <v>1</v>
      </c>
      <c r="E36" s="148" t="s">
        <v>696</v>
      </c>
      <c r="F36" s="149">
        <f>10000*3.5%+10000</f>
        <v>10350</v>
      </c>
      <c r="G36" s="87">
        <f t="shared" si="0"/>
        <v>10350</v>
      </c>
      <c r="H36" s="83" t="s">
        <v>715</v>
      </c>
      <c r="I36" s="40" t="s">
        <v>716</v>
      </c>
      <c r="J36" s="129" t="s">
        <v>994</v>
      </c>
      <c r="K36" s="40" t="s">
        <v>71</v>
      </c>
      <c r="L36" s="40" t="s">
        <v>717</v>
      </c>
    </row>
    <row r="37" spans="1:12" ht="24" x14ac:dyDescent="0.25">
      <c r="A37" s="83">
        <v>34</v>
      </c>
      <c r="B37" s="118" t="s">
        <v>490</v>
      </c>
      <c r="C37" s="40" t="s">
        <v>695</v>
      </c>
      <c r="D37" s="123">
        <v>1</v>
      </c>
      <c r="E37" s="148" t="s">
        <v>27</v>
      </c>
      <c r="F37" s="149">
        <f>25000*3.5%+25000</f>
        <v>25875</v>
      </c>
      <c r="G37" s="87">
        <f t="shared" si="0"/>
        <v>25875</v>
      </c>
      <c r="H37" s="83" t="s">
        <v>715</v>
      </c>
      <c r="I37" s="40" t="s">
        <v>716</v>
      </c>
      <c r="J37" s="129" t="s">
        <v>994</v>
      </c>
      <c r="K37" s="40" t="s">
        <v>71</v>
      </c>
      <c r="L37" s="40" t="s">
        <v>717</v>
      </c>
    </row>
    <row r="38" spans="1:12" ht="36" x14ac:dyDescent="0.25">
      <c r="A38" s="83">
        <v>35</v>
      </c>
      <c r="B38" s="118" t="s">
        <v>491</v>
      </c>
      <c r="C38" s="40" t="s">
        <v>695</v>
      </c>
      <c r="D38" s="123">
        <v>1</v>
      </c>
      <c r="E38" s="148" t="s">
        <v>696</v>
      </c>
      <c r="F38" s="149">
        <f>110000*3.5%+110000</f>
        <v>113850</v>
      </c>
      <c r="G38" s="87">
        <f t="shared" si="0"/>
        <v>113850</v>
      </c>
      <c r="H38" s="83" t="s">
        <v>715</v>
      </c>
      <c r="I38" s="40" t="s">
        <v>716</v>
      </c>
      <c r="J38" s="129" t="s">
        <v>994</v>
      </c>
      <c r="K38" s="40" t="s">
        <v>71</v>
      </c>
      <c r="L38" s="40" t="s">
        <v>717</v>
      </c>
    </row>
    <row r="39" spans="1:12" ht="48" x14ac:dyDescent="0.25">
      <c r="A39" s="83">
        <v>36</v>
      </c>
      <c r="B39" s="118" t="s">
        <v>492</v>
      </c>
      <c r="C39" s="40" t="s">
        <v>695</v>
      </c>
      <c r="D39" s="123">
        <v>1</v>
      </c>
      <c r="E39" s="148" t="s">
        <v>696</v>
      </c>
      <c r="F39" s="149">
        <f>12000*3.5%+12000</f>
        <v>12420</v>
      </c>
      <c r="G39" s="87">
        <f t="shared" si="0"/>
        <v>12420</v>
      </c>
      <c r="H39" s="83" t="s">
        <v>715</v>
      </c>
      <c r="I39" s="40" t="s">
        <v>716</v>
      </c>
      <c r="J39" s="129" t="s">
        <v>994</v>
      </c>
      <c r="K39" s="40" t="s">
        <v>71</v>
      </c>
      <c r="L39" s="40" t="s">
        <v>717</v>
      </c>
    </row>
    <row r="40" spans="1:12" ht="24" x14ac:dyDescent="0.25">
      <c r="A40" s="83">
        <v>37</v>
      </c>
      <c r="B40" s="118" t="s">
        <v>493</v>
      </c>
      <c r="C40" s="40" t="s">
        <v>695</v>
      </c>
      <c r="D40" s="123">
        <v>1</v>
      </c>
      <c r="E40" s="148" t="s">
        <v>696</v>
      </c>
      <c r="F40" s="149">
        <f>10000*3.5%+10000</f>
        <v>10350</v>
      </c>
      <c r="G40" s="87">
        <f t="shared" si="0"/>
        <v>10350</v>
      </c>
      <c r="H40" s="83" t="s">
        <v>715</v>
      </c>
      <c r="I40" s="40" t="s">
        <v>716</v>
      </c>
      <c r="J40" s="129" t="s">
        <v>994</v>
      </c>
      <c r="K40" s="40" t="s">
        <v>71</v>
      </c>
      <c r="L40" s="40" t="s">
        <v>717</v>
      </c>
    </row>
    <row r="41" spans="1:12" ht="24" x14ac:dyDescent="0.25">
      <c r="A41" s="83">
        <v>38</v>
      </c>
      <c r="B41" s="118" t="s">
        <v>494</v>
      </c>
      <c r="C41" s="40" t="s">
        <v>695</v>
      </c>
      <c r="D41" s="123">
        <v>1</v>
      </c>
      <c r="E41" s="148" t="s">
        <v>696</v>
      </c>
      <c r="F41" s="149">
        <f>19000*3.5%+19000</f>
        <v>19665</v>
      </c>
      <c r="G41" s="87">
        <f t="shared" si="0"/>
        <v>19665</v>
      </c>
      <c r="H41" s="83" t="s">
        <v>715</v>
      </c>
      <c r="I41" s="40" t="s">
        <v>716</v>
      </c>
      <c r="J41" s="129" t="s">
        <v>994</v>
      </c>
      <c r="K41" s="40" t="s">
        <v>71</v>
      </c>
      <c r="L41" s="40" t="s">
        <v>717</v>
      </c>
    </row>
    <row r="42" spans="1:12" ht="24" x14ac:dyDescent="0.25">
      <c r="A42" s="83">
        <v>39</v>
      </c>
      <c r="B42" s="118" t="s">
        <v>495</v>
      </c>
      <c r="C42" s="40" t="s">
        <v>695</v>
      </c>
      <c r="D42" s="123">
        <v>1</v>
      </c>
      <c r="E42" s="148" t="s">
        <v>698</v>
      </c>
      <c r="F42" s="149">
        <f>49000*3.5%+49000</f>
        <v>50715</v>
      </c>
      <c r="G42" s="87">
        <f t="shared" si="0"/>
        <v>50715</v>
      </c>
      <c r="H42" s="83" t="s">
        <v>715</v>
      </c>
      <c r="I42" s="40" t="s">
        <v>716</v>
      </c>
      <c r="J42" s="129" t="s">
        <v>994</v>
      </c>
      <c r="K42" s="40" t="s">
        <v>71</v>
      </c>
      <c r="L42" s="40" t="s">
        <v>717</v>
      </c>
    </row>
    <row r="43" spans="1:12" ht="24" x14ac:dyDescent="0.25">
      <c r="A43" s="83">
        <v>40</v>
      </c>
      <c r="B43" s="118" t="s">
        <v>496</v>
      </c>
      <c r="C43" s="40" t="s">
        <v>695</v>
      </c>
      <c r="D43" s="123">
        <v>1</v>
      </c>
      <c r="E43" s="148" t="s">
        <v>698</v>
      </c>
      <c r="F43" s="149">
        <f>30000*3.5%+30000</f>
        <v>31050</v>
      </c>
      <c r="G43" s="87">
        <f t="shared" si="0"/>
        <v>31050</v>
      </c>
      <c r="H43" s="83" t="s">
        <v>715</v>
      </c>
      <c r="I43" s="40" t="s">
        <v>716</v>
      </c>
      <c r="J43" s="129" t="s">
        <v>994</v>
      </c>
      <c r="K43" s="40" t="s">
        <v>71</v>
      </c>
      <c r="L43" s="40" t="s">
        <v>717</v>
      </c>
    </row>
    <row r="44" spans="1:12" ht="36" x14ac:dyDescent="0.25">
      <c r="A44" s="83">
        <v>41</v>
      </c>
      <c r="B44" s="118" t="s">
        <v>497</v>
      </c>
      <c r="C44" s="40" t="s">
        <v>695</v>
      </c>
      <c r="D44" s="123">
        <v>1</v>
      </c>
      <c r="E44" s="148" t="s">
        <v>696</v>
      </c>
      <c r="F44" s="152">
        <f>400*3.5%+400</f>
        <v>414</v>
      </c>
      <c r="G44" s="87">
        <f t="shared" si="0"/>
        <v>414</v>
      </c>
      <c r="H44" s="83" t="s">
        <v>715</v>
      </c>
      <c r="I44" s="40" t="s">
        <v>716</v>
      </c>
      <c r="J44" s="129" t="s">
        <v>994</v>
      </c>
      <c r="K44" s="40" t="s">
        <v>71</v>
      </c>
      <c r="L44" s="40" t="s">
        <v>717</v>
      </c>
    </row>
    <row r="45" spans="1:12" ht="24" x14ac:dyDescent="0.25">
      <c r="A45" s="83">
        <v>42</v>
      </c>
      <c r="B45" s="118" t="s">
        <v>498</v>
      </c>
      <c r="C45" s="40" t="s">
        <v>695</v>
      </c>
      <c r="D45" s="123">
        <v>1</v>
      </c>
      <c r="E45" s="148" t="s">
        <v>696</v>
      </c>
      <c r="F45" s="152">
        <f>700*3.5%+700</f>
        <v>724.5</v>
      </c>
      <c r="G45" s="87">
        <f t="shared" si="0"/>
        <v>724.5</v>
      </c>
      <c r="H45" s="83" t="s">
        <v>715</v>
      </c>
      <c r="I45" s="40" t="s">
        <v>716</v>
      </c>
      <c r="J45" s="129" t="s">
        <v>994</v>
      </c>
      <c r="K45" s="40" t="s">
        <v>71</v>
      </c>
      <c r="L45" s="40" t="s">
        <v>717</v>
      </c>
    </row>
    <row r="46" spans="1:12" ht="24" x14ac:dyDescent="0.25">
      <c r="A46" s="83">
        <v>43</v>
      </c>
      <c r="B46" s="118" t="s">
        <v>499</v>
      </c>
      <c r="C46" s="40" t="s">
        <v>695</v>
      </c>
      <c r="D46" s="123">
        <v>1</v>
      </c>
      <c r="E46" s="148" t="s">
        <v>696</v>
      </c>
      <c r="F46" s="149">
        <f>28000*3.5%+28000</f>
        <v>28980</v>
      </c>
      <c r="G46" s="87">
        <f t="shared" si="0"/>
        <v>28980</v>
      </c>
      <c r="H46" s="83" t="s">
        <v>715</v>
      </c>
      <c r="I46" s="40" t="s">
        <v>716</v>
      </c>
      <c r="J46" s="129" t="s">
        <v>994</v>
      </c>
      <c r="K46" s="40" t="s">
        <v>71</v>
      </c>
      <c r="L46" s="40" t="s">
        <v>717</v>
      </c>
    </row>
    <row r="47" spans="1:12" ht="24" x14ac:dyDescent="0.25">
      <c r="A47" s="83">
        <v>44</v>
      </c>
      <c r="B47" s="118" t="s">
        <v>500</v>
      </c>
      <c r="C47" s="40" t="s">
        <v>695</v>
      </c>
      <c r="D47" s="123">
        <v>1</v>
      </c>
      <c r="E47" s="148" t="s">
        <v>696</v>
      </c>
      <c r="F47" s="125">
        <f>15000*3.5%+15000</f>
        <v>15525</v>
      </c>
      <c r="G47" s="87">
        <f t="shared" si="0"/>
        <v>15525</v>
      </c>
      <c r="H47" s="83" t="s">
        <v>715</v>
      </c>
      <c r="I47" s="40" t="s">
        <v>716</v>
      </c>
      <c r="J47" s="129" t="s">
        <v>994</v>
      </c>
      <c r="K47" s="40" t="s">
        <v>71</v>
      </c>
      <c r="L47" s="40" t="s">
        <v>717</v>
      </c>
    </row>
    <row r="48" spans="1:12" ht="24" x14ac:dyDescent="0.25">
      <c r="A48" s="83">
        <v>45</v>
      </c>
      <c r="B48" s="118" t="s">
        <v>501</v>
      </c>
      <c r="C48" s="40" t="s">
        <v>695</v>
      </c>
      <c r="D48" s="123">
        <v>1</v>
      </c>
      <c r="E48" s="148" t="s">
        <v>696</v>
      </c>
      <c r="F48" s="149">
        <f>19000*3.5%+19000</f>
        <v>19665</v>
      </c>
      <c r="G48" s="87">
        <f t="shared" si="0"/>
        <v>19665</v>
      </c>
      <c r="H48" s="83" t="s">
        <v>715</v>
      </c>
      <c r="I48" s="40" t="s">
        <v>716</v>
      </c>
      <c r="J48" s="129" t="s">
        <v>994</v>
      </c>
      <c r="K48" s="40" t="s">
        <v>71</v>
      </c>
      <c r="L48" s="40" t="s">
        <v>717</v>
      </c>
    </row>
    <row r="49" spans="1:12" ht="24" x14ac:dyDescent="0.25">
      <c r="A49" s="83">
        <v>46</v>
      </c>
      <c r="B49" s="118" t="s">
        <v>502</v>
      </c>
      <c r="C49" s="40" t="s">
        <v>695</v>
      </c>
      <c r="D49" s="123">
        <v>1</v>
      </c>
      <c r="E49" s="148" t="s">
        <v>696</v>
      </c>
      <c r="F49" s="152">
        <v>500</v>
      </c>
      <c r="G49" s="87">
        <f t="shared" si="0"/>
        <v>500</v>
      </c>
      <c r="H49" s="83" t="s">
        <v>715</v>
      </c>
      <c r="I49" s="40" t="s">
        <v>716</v>
      </c>
      <c r="J49" s="129" t="s">
        <v>994</v>
      </c>
      <c r="K49" s="40" t="s">
        <v>71</v>
      </c>
      <c r="L49" s="40" t="s">
        <v>717</v>
      </c>
    </row>
    <row r="50" spans="1:12" ht="24" x14ac:dyDescent="0.25">
      <c r="A50" s="83">
        <v>47</v>
      </c>
      <c r="B50" s="118" t="s">
        <v>503</v>
      </c>
      <c r="C50" s="40" t="s">
        <v>695</v>
      </c>
      <c r="D50" s="123">
        <v>1</v>
      </c>
      <c r="E50" s="148" t="s">
        <v>699</v>
      </c>
      <c r="F50" s="149">
        <f>90000*3.5%+90000</f>
        <v>93150</v>
      </c>
      <c r="G50" s="87">
        <f t="shared" si="0"/>
        <v>93150</v>
      </c>
      <c r="H50" s="83" t="s">
        <v>715</v>
      </c>
      <c r="I50" s="40" t="s">
        <v>716</v>
      </c>
      <c r="J50" s="129" t="s">
        <v>994</v>
      </c>
      <c r="K50" s="40" t="s">
        <v>71</v>
      </c>
      <c r="L50" s="40" t="s">
        <v>717</v>
      </c>
    </row>
    <row r="51" spans="1:12" ht="24" x14ac:dyDescent="0.25">
      <c r="A51" s="83">
        <v>48</v>
      </c>
      <c r="B51" s="146" t="s">
        <v>504</v>
      </c>
      <c r="C51" s="40" t="s">
        <v>695</v>
      </c>
      <c r="D51" s="123">
        <v>1</v>
      </c>
      <c r="E51" s="148" t="s">
        <v>696</v>
      </c>
      <c r="F51" s="152">
        <f>600*3.5%+600</f>
        <v>621</v>
      </c>
      <c r="G51" s="87">
        <f t="shared" si="0"/>
        <v>621</v>
      </c>
      <c r="H51" s="83" t="s">
        <v>715</v>
      </c>
      <c r="I51" s="40" t="s">
        <v>716</v>
      </c>
      <c r="J51" s="129" t="s">
        <v>994</v>
      </c>
      <c r="K51" s="40" t="s">
        <v>71</v>
      </c>
      <c r="L51" s="40" t="s">
        <v>717</v>
      </c>
    </row>
    <row r="52" spans="1:12" ht="24" x14ac:dyDescent="0.25">
      <c r="A52" s="83">
        <v>49</v>
      </c>
      <c r="B52" s="118" t="s">
        <v>505</v>
      </c>
      <c r="C52" s="40" t="s">
        <v>695</v>
      </c>
      <c r="D52" s="123">
        <v>1</v>
      </c>
      <c r="E52" s="148" t="s">
        <v>696</v>
      </c>
      <c r="F52" s="152">
        <f>300*3.5%+300</f>
        <v>310.5</v>
      </c>
      <c r="G52" s="87">
        <f t="shared" si="0"/>
        <v>310.5</v>
      </c>
      <c r="H52" s="83" t="s">
        <v>715</v>
      </c>
      <c r="I52" s="40" t="s">
        <v>716</v>
      </c>
      <c r="J52" s="129" t="s">
        <v>994</v>
      </c>
      <c r="K52" s="40" t="s">
        <v>71</v>
      </c>
      <c r="L52" s="40" t="s">
        <v>717</v>
      </c>
    </row>
    <row r="53" spans="1:12" ht="24" x14ac:dyDescent="0.25">
      <c r="A53" s="83">
        <v>50</v>
      </c>
      <c r="B53" s="146" t="s">
        <v>506</v>
      </c>
      <c r="C53" s="40" t="s">
        <v>695</v>
      </c>
      <c r="D53" s="123">
        <v>1</v>
      </c>
      <c r="E53" s="148" t="s">
        <v>696</v>
      </c>
      <c r="F53" s="149">
        <f>1200*3.5%+1200</f>
        <v>1242</v>
      </c>
      <c r="G53" s="87">
        <f t="shared" si="0"/>
        <v>1242</v>
      </c>
      <c r="H53" s="83" t="s">
        <v>715</v>
      </c>
      <c r="I53" s="40" t="s">
        <v>716</v>
      </c>
      <c r="J53" s="129" t="s">
        <v>994</v>
      </c>
      <c r="K53" s="40" t="s">
        <v>71</v>
      </c>
      <c r="L53" s="40" t="s">
        <v>717</v>
      </c>
    </row>
    <row r="54" spans="1:12" ht="24" x14ac:dyDescent="0.25">
      <c r="A54" s="83">
        <v>51</v>
      </c>
      <c r="B54" s="118" t="s">
        <v>507</v>
      </c>
      <c r="C54" s="40" t="s">
        <v>695</v>
      </c>
      <c r="D54" s="123">
        <v>1</v>
      </c>
      <c r="E54" s="148" t="s">
        <v>696</v>
      </c>
      <c r="F54" s="149">
        <f>6500*3.5%+6500</f>
        <v>6727.5</v>
      </c>
      <c r="G54" s="87">
        <f t="shared" si="0"/>
        <v>6727.5</v>
      </c>
      <c r="H54" s="83" t="s">
        <v>715</v>
      </c>
      <c r="I54" s="40" t="s">
        <v>716</v>
      </c>
      <c r="J54" s="129" t="s">
        <v>994</v>
      </c>
      <c r="K54" s="40" t="s">
        <v>71</v>
      </c>
      <c r="L54" s="40" t="s">
        <v>717</v>
      </c>
    </row>
    <row r="55" spans="1:12" ht="24" x14ac:dyDescent="0.25">
      <c r="A55" s="83">
        <v>52</v>
      </c>
      <c r="B55" s="118" t="s">
        <v>508</v>
      </c>
      <c r="C55" s="40" t="s">
        <v>695</v>
      </c>
      <c r="D55" s="123">
        <v>1</v>
      </c>
      <c r="E55" s="148" t="s">
        <v>696</v>
      </c>
      <c r="F55" s="149">
        <f>10000*3.5%+10000</f>
        <v>10350</v>
      </c>
      <c r="G55" s="87">
        <f t="shared" si="0"/>
        <v>10350</v>
      </c>
      <c r="H55" s="83" t="s">
        <v>715</v>
      </c>
      <c r="I55" s="40" t="s">
        <v>716</v>
      </c>
      <c r="J55" s="129" t="s">
        <v>994</v>
      </c>
      <c r="K55" s="40" t="s">
        <v>71</v>
      </c>
      <c r="L55" s="40" t="s">
        <v>717</v>
      </c>
    </row>
    <row r="56" spans="1:12" ht="24" x14ac:dyDescent="0.25">
      <c r="A56" s="83">
        <v>53</v>
      </c>
      <c r="B56" s="118" t="s">
        <v>509</v>
      </c>
      <c r="C56" s="40" t="s">
        <v>695</v>
      </c>
      <c r="D56" s="123">
        <v>1</v>
      </c>
      <c r="E56" s="148" t="s">
        <v>696</v>
      </c>
      <c r="F56" s="152">
        <f>900*3.5%+900</f>
        <v>931.5</v>
      </c>
      <c r="G56" s="87">
        <f t="shared" si="0"/>
        <v>931.5</v>
      </c>
      <c r="H56" s="83" t="s">
        <v>715</v>
      </c>
      <c r="I56" s="40" t="s">
        <v>716</v>
      </c>
      <c r="J56" s="129" t="s">
        <v>994</v>
      </c>
      <c r="K56" s="40" t="s">
        <v>71</v>
      </c>
      <c r="L56" s="40" t="s">
        <v>717</v>
      </c>
    </row>
    <row r="57" spans="1:12" ht="24" x14ac:dyDescent="0.25">
      <c r="A57" s="83">
        <v>54</v>
      </c>
      <c r="B57" s="118" t="s">
        <v>510</v>
      </c>
      <c r="C57" s="40" t="s">
        <v>695</v>
      </c>
      <c r="D57" s="123">
        <v>1</v>
      </c>
      <c r="E57" s="148" t="s">
        <v>696</v>
      </c>
      <c r="F57" s="149">
        <f>45000*3.5%+45000</f>
        <v>46575</v>
      </c>
      <c r="G57" s="87">
        <f t="shared" si="0"/>
        <v>46575</v>
      </c>
      <c r="H57" s="83" t="s">
        <v>715</v>
      </c>
      <c r="I57" s="40" t="s">
        <v>716</v>
      </c>
      <c r="J57" s="129" t="s">
        <v>994</v>
      </c>
      <c r="K57" s="40" t="s">
        <v>71</v>
      </c>
      <c r="L57" s="40" t="s">
        <v>717</v>
      </c>
    </row>
    <row r="58" spans="1:12" ht="24" x14ac:dyDescent="0.25">
      <c r="A58" s="83">
        <v>55</v>
      </c>
      <c r="B58" s="118" t="s">
        <v>511</v>
      </c>
      <c r="C58" s="40" t="s">
        <v>695</v>
      </c>
      <c r="D58" s="123">
        <v>1</v>
      </c>
      <c r="E58" s="148" t="s">
        <v>696</v>
      </c>
      <c r="F58" s="149">
        <f>2000*3.5%+2000</f>
        <v>2070</v>
      </c>
      <c r="G58" s="87">
        <f t="shared" si="0"/>
        <v>2070</v>
      </c>
      <c r="H58" s="83" t="s">
        <v>715</v>
      </c>
      <c r="I58" s="40" t="s">
        <v>716</v>
      </c>
      <c r="J58" s="129" t="s">
        <v>994</v>
      </c>
      <c r="K58" s="40" t="s">
        <v>71</v>
      </c>
      <c r="L58" s="40" t="s">
        <v>717</v>
      </c>
    </row>
    <row r="59" spans="1:12" ht="24" x14ac:dyDescent="0.25">
      <c r="A59" s="83">
        <v>56</v>
      </c>
      <c r="B59" s="118" t="s">
        <v>512</v>
      </c>
      <c r="C59" s="40" t="s">
        <v>695</v>
      </c>
      <c r="D59" s="123">
        <v>1</v>
      </c>
      <c r="E59" s="148" t="s">
        <v>696</v>
      </c>
      <c r="F59" s="149">
        <f>2400*3.5%+2400</f>
        <v>2484</v>
      </c>
      <c r="G59" s="87">
        <f t="shared" si="0"/>
        <v>2484</v>
      </c>
      <c r="H59" s="83" t="s">
        <v>715</v>
      </c>
      <c r="I59" s="40" t="s">
        <v>716</v>
      </c>
      <c r="J59" s="129" t="s">
        <v>994</v>
      </c>
      <c r="K59" s="40" t="s">
        <v>71</v>
      </c>
      <c r="L59" s="40" t="s">
        <v>717</v>
      </c>
    </row>
    <row r="60" spans="1:12" ht="24" x14ac:dyDescent="0.25">
      <c r="A60" s="83">
        <v>57</v>
      </c>
      <c r="B60" s="118" t="s">
        <v>513</v>
      </c>
      <c r="C60" s="40" t="s">
        <v>695</v>
      </c>
      <c r="D60" s="123">
        <v>1</v>
      </c>
      <c r="E60" s="148" t="s">
        <v>696</v>
      </c>
      <c r="F60" s="149">
        <f>4500*3.5%+4500</f>
        <v>4657.5</v>
      </c>
      <c r="G60" s="87">
        <f t="shared" si="0"/>
        <v>4657.5</v>
      </c>
      <c r="H60" s="83" t="s">
        <v>715</v>
      </c>
      <c r="I60" s="40" t="s">
        <v>716</v>
      </c>
      <c r="J60" s="129" t="s">
        <v>994</v>
      </c>
      <c r="K60" s="40" t="s">
        <v>71</v>
      </c>
      <c r="L60" s="40" t="s">
        <v>717</v>
      </c>
    </row>
    <row r="61" spans="1:12" ht="24" x14ac:dyDescent="0.25">
      <c r="A61" s="83">
        <v>58</v>
      </c>
      <c r="B61" s="118" t="s">
        <v>514</v>
      </c>
      <c r="C61" s="40" t="s">
        <v>695</v>
      </c>
      <c r="D61" s="123">
        <v>1</v>
      </c>
      <c r="E61" s="148" t="s">
        <v>696</v>
      </c>
      <c r="F61" s="149">
        <f>7000*3.5%+7000</f>
        <v>7245</v>
      </c>
      <c r="G61" s="87">
        <f t="shared" si="0"/>
        <v>7245</v>
      </c>
      <c r="H61" s="83" t="s">
        <v>715</v>
      </c>
      <c r="I61" s="40" t="s">
        <v>716</v>
      </c>
      <c r="J61" s="129" t="s">
        <v>994</v>
      </c>
      <c r="K61" s="40" t="s">
        <v>71</v>
      </c>
      <c r="L61" s="40" t="s">
        <v>717</v>
      </c>
    </row>
    <row r="62" spans="1:12" ht="24" x14ac:dyDescent="0.25">
      <c r="A62" s="83">
        <v>59</v>
      </c>
      <c r="B62" s="118" t="s">
        <v>515</v>
      </c>
      <c r="C62" s="40" t="s">
        <v>695</v>
      </c>
      <c r="D62" s="123">
        <v>1</v>
      </c>
      <c r="E62" s="148" t="s">
        <v>696</v>
      </c>
      <c r="F62" s="149">
        <f>390000*3.5%+390000</f>
        <v>403650</v>
      </c>
      <c r="G62" s="87">
        <f t="shared" si="0"/>
        <v>403650</v>
      </c>
      <c r="H62" s="83" t="s">
        <v>715</v>
      </c>
      <c r="I62" s="40" t="s">
        <v>716</v>
      </c>
      <c r="J62" s="129" t="s">
        <v>994</v>
      </c>
      <c r="K62" s="40" t="s">
        <v>71</v>
      </c>
      <c r="L62" s="40" t="s">
        <v>717</v>
      </c>
    </row>
    <row r="63" spans="1:12" ht="24" x14ac:dyDescent="0.25">
      <c r="A63" s="83">
        <v>60</v>
      </c>
      <c r="B63" s="146" t="s">
        <v>516</v>
      </c>
      <c r="C63" s="40" t="s">
        <v>695</v>
      </c>
      <c r="D63" s="123">
        <v>1</v>
      </c>
      <c r="E63" s="148" t="s">
        <v>696</v>
      </c>
      <c r="F63" s="149">
        <f>18000*3.5%+18000</f>
        <v>18630</v>
      </c>
      <c r="G63" s="87">
        <f t="shared" si="0"/>
        <v>18630</v>
      </c>
      <c r="H63" s="83" t="s">
        <v>715</v>
      </c>
      <c r="I63" s="40" t="s">
        <v>716</v>
      </c>
      <c r="J63" s="129" t="s">
        <v>994</v>
      </c>
      <c r="K63" s="40" t="s">
        <v>71</v>
      </c>
      <c r="L63" s="40" t="s">
        <v>717</v>
      </c>
    </row>
    <row r="64" spans="1:12" ht="24" x14ac:dyDescent="0.25">
      <c r="A64" s="83">
        <v>61</v>
      </c>
      <c r="B64" s="146" t="s">
        <v>517</v>
      </c>
      <c r="C64" s="40" t="s">
        <v>695</v>
      </c>
      <c r="D64" s="123">
        <v>1</v>
      </c>
      <c r="E64" s="148" t="s">
        <v>696</v>
      </c>
      <c r="F64" s="149">
        <f>115000*3.05%+115000</f>
        <v>118507.5</v>
      </c>
      <c r="G64" s="87">
        <f t="shared" si="0"/>
        <v>118507.5</v>
      </c>
      <c r="H64" s="83" t="s">
        <v>715</v>
      </c>
      <c r="I64" s="40" t="s">
        <v>716</v>
      </c>
      <c r="J64" s="129" t="s">
        <v>994</v>
      </c>
      <c r="K64" s="40" t="s">
        <v>71</v>
      </c>
      <c r="L64" s="40" t="s">
        <v>717</v>
      </c>
    </row>
    <row r="65" spans="1:12" ht="24" x14ac:dyDescent="0.25">
      <c r="A65" s="83">
        <v>62</v>
      </c>
      <c r="B65" s="146" t="s">
        <v>518</v>
      </c>
      <c r="C65" s="40" t="s">
        <v>695</v>
      </c>
      <c r="D65" s="123">
        <v>1</v>
      </c>
      <c r="E65" s="148" t="s">
        <v>696</v>
      </c>
      <c r="F65" s="149">
        <f>18000*3.5%+18000</f>
        <v>18630</v>
      </c>
      <c r="G65" s="87">
        <f t="shared" si="0"/>
        <v>18630</v>
      </c>
      <c r="H65" s="83" t="s">
        <v>715</v>
      </c>
      <c r="I65" s="40" t="s">
        <v>716</v>
      </c>
      <c r="J65" s="129" t="s">
        <v>994</v>
      </c>
      <c r="K65" s="40" t="s">
        <v>71</v>
      </c>
      <c r="L65" s="40" t="s">
        <v>717</v>
      </c>
    </row>
    <row r="66" spans="1:12" ht="24" x14ac:dyDescent="0.25">
      <c r="A66" s="83">
        <v>63</v>
      </c>
      <c r="B66" s="146" t="s">
        <v>519</v>
      </c>
      <c r="C66" s="40" t="s">
        <v>695</v>
      </c>
      <c r="D66" s="123">
        <v>1</v>
      </c>
      <c r="E66" s="148" t="s">
        <v>696</v>
      </c>
      <c r="F66" s="149">
        <f>495000*3.5%+495000</f>
        <v>512325</v>
      </c>
      <c r="G66" s="87">
        <f t="shared" si="0"/>
        <v>512325</v>
      </c>
      <c r="H66" s="83" t="s">
        <v>715</v>
      </c>
      <c r="I66" s="40" t="s">
        <v>716</v>
      </c>
      <c r="J66" s="129" t="s">
        <v>994</v>
      </c>
      <c r="K66" s="40" t="s">
        <v>71</v>
      </c>
      <c r="L66" s="40" t="s">
        <v>717</v>
      </c>
    </row>
    <row r="67" spans="1:12" ht="24" x14ac:dyDescent="0.25">
      <c r="A67" s="83">
        <v>64</v>
      </c>
      <c r="B67" s="146" t="s">
        <v>520</v>
      </c>
      <c r="C67" s="40" t="s">
        <v>695</v>
      </c>
      <c r="D67" s="123">
        <v>1</v>
      </c>
      <c r="E67" s="148" t="s">
        <v>27</v>
      </c>
      <c r="F67" s="149">
        <f>45000*3.5%+45000</f>
        <v>46575</v>
      </c>
      <c r="G67" s="87">
        <f t="shared" si="0"/>
        <v>46575</v>
      </c>
      <c r="H67" s="83" t="s">
        <v>715</v>
      </c>
      <c r="I67" s="40" t="s">
        <v>716</v>
      </c>
      <c r="J67" s="129" t="s">
        <v>994</v>
      </c>
      <c r="K67" s="40" t="s">
        <v>71</v>
      </c>
      <c r="L67" s="40" t="s">
        <v>717</v>
      </c>
    </row>
    <row r="68" spans="1:12" ht="24" x14ac:dyDescent="0.25">
      <c r="A68" s="83">
        <v>65</v>
      </c>
      <c r="B68" s="146" t="s">
        <v>521</v>
      </c>
      <c r="C68" s="40" t="s">
        <v>695</v>
      </c>
      <c r="D68" s="123">
        <v>1</v>
      </c>
      <c r="E68" s="148" t="s">
        <v>696</v>
      </c>
      <c r="F68" s="149">
        <f>190000*3.5%+190000</f>
        <v>196650</v>
      </c>
      <c r="G68" s="87">
        <f t="shared" si="0"/>
        <v>196650</v>
      </c>
      <c r="H68" s="83" t="s">
        <v>715</v>
      </c>
      <c r="I68" s="40" t="s">
        <v>716</v>
      </c>
      <c r="J68" s="129" t="s">
        <v>994</v>
      </c>
      <c r="K68" s="40" t="s">
        <v>71</v>
      </c>
      <c r="L68" s="40" t="s">
        <v>717</v>
      </c>
    </row>
    <row r="69" spans="1:12" ht="24" x14ac:dyDescent="0.25">
      <c r="A69" s="83">
        <v>66</v>
      </c>
      <c r="B69" s="146" t="s">
        <v>522</v>
      </c>
      <c r="C69" s="40" t="s">
        <v>695</v>
      </c>
      <c r="D69" s="123">
        <v>1</v>
      </c>
      <c r="E69" s="148" t="s">
        <v>696</v>
      </c>
      <c r="F69" s="149">
        <v>140000</v>
      </c>
      <c r="G69" s="87">
        <f t="shared" ref="G69:G132" si="1">D69*F69</f>
        <v>140000</v>
      </c>
      <c r="H69" s="83" t="s">
        <v>715</v>
      </c>
      <c r="I69" s="40" t="s">
        <v>716</v>
      </c>
      <c r="J69" s="129" t="s">
        <v>994</v>
      </c>
      <c r="K69" s="40" t="s">
        <v>71</v>
      </c>
      <c r="L69" s="40" t="s">
        <v>717</v>
      </c>
    </row>
    <row r="70" spans="1:12" ht="24" x14ac:dyDescent="0.25">
      <c r="A70" s="83">
        <v>67</v>
      </c>
      <c r="B70" s="146" t="s">
        <v>523</v>
      </c>
      <c r="C70" s="40" t="s">
        <v>695</v>
      </c>
      <c r="D70" s="123">
        <v>1</v>
      </c>
      <c r="E70" s="148" t="s">
        <v>696</v>
      </c>
      <c r="F70" s="149">
        <f>4500*3.5%+4500</f>
        <v>4657.5</v>
      </c>
      <c r="G70" s="87">
        <f t="shared" si="1"/>
        <v>4657.5</v>
      </c>
      <c r="H70" s="83" t="s">
        <v>715</v>
      </c>
      <c r="I70" s="40" t="s">
        <v>716</v>
      </c>
      <c r="J70" s="129" t="s">
        <v>994</v>
      </c>
      <c r="K70" s="40" t="s">
        <v>71</v>
      </c>
      <c r="L70" s="40" t="s">
        <v>717</v>
      </c>
    </row>
    <row r="71" spans="1:12" ht="24" x14ac:dyDescent="0.25">
      <c r="A71" s="83">
        <v>68</v>
      </c>
      <c r="B71" s="146" t="s">
        <v>524</v>
      </c>
      <c r="C71" s="40" t="s">
        <v>695</v>
      </c>
      <c r="D71" s="123">
        <v>1</v>
      </c>
      <c r="E71" s="148" t="s">
        <v>696</v>
      </c>
      <c r="F71" s="149">
        <f>7000*3.5%+7000</f>
        <v>7245</v>
      </c>
      <c r="G71" s="87">
        <f t="shared" si="1"/>
        <v>7245</v>
      </c>
      <c r="H71" s="83" t="s">
        <v>715</v>
      </c>
      <c r="I71" s="40" t="s">
        <v>716</v>
      </c>
      <c r="J71" s="129" t="s">
        <v>994</v>
      </c>
      <c r="K71" s="40" t="s">
        <v>71</v>
      </c>
      <c r="L71" s="40" t="s">
        <v>717</v>
      </c>
    </row>
    <row r="72" spans="1:12" ht="24" x14ac:dyDescent="0.25">
      <c r="A72" s="83">
        <v>69</v>
      </c>
      <c r="B72" s="146" t="s">
        <v>525</v>
      </c>
      <c r="C72" s="40" t="s">
        <v>695</v>
      </c>
      <c r="D72" s="123">
        <v>1</v>
      </c>
      <c r="E72" s="148" t="s">
        <v>696</v>
      </c>
      <c r="F72" s="149">
        <f>45000*3.5%+45000</f>
        <v>46575</v>
      </c>
      <c r="G72" s="87">
        <f t="shared" si="1"/>
        <v>46575</v>
      </c>
      <c r="H72" s="83" t="s">
        <v>715</v>
      </c>
      <c r="I72" s="40" t="s">
        <v>716</v>
      </c>
      <c r="J72" s="129" t="s">
        <v>994</v>
      </c>
      <c r="K72" s="40" t="s">
        <v>71</v>
      </c>
      <c r="L72" s="40" t="s">
        <v>717</v>
      </c>
    </row>
    <row r="73" spans="1:12" ht="24" x14ac:dyDescent="0.25">
      <c r="A73" s="83">
        <v>70</v>
      </c>
      <c r="B73" s="146" t="s">
        <v>526</v>
      </c>
      <c r="C73" s="40" t="s">
        <v>695</v>
      </c>
      <c r="D73" s="123">
        <v>1</v>
      </c>
      <c r="E73" s="148" t="s">
        <v>696</v>
      </c>
      <c r="F73" s="149">
        <f>8500*3.5%+8500</f>
        <v>8797.5</v>
      </c>
      <c r="G73" s="87">
        <f t="shared" si="1"/>
        <v>8797.5</v>
      </c>
      <c r="H73" s="83" t="s">
        <v>715</v>
      </c>
      <c r="I73" s="40" t="s">
        <v>716</v>
      </c>
      <c r="J73" s="129" t="s">
        <v>994</v>
      </c>
      <c r="K73" s="40" t="s">
        <v>71</v>
      </c>
      <c r="L73" s="40" t="s">
        <v>717</v>
      </c>
    </row>
    <row r="74" spans="1:12" ht="24" x14ac:dyDescent="0.25">
      <c r="A74" s="83">
        <v>71</v>
      </c>
      <c r="B74" s="146" t="s">
        <v>527</v>
      </c>
      <c r="C74" s="40" t="s">
        <v>695</v>
      </c>
      <c r="D74" s="123">
        <v>1</v>
      </c>
      <c r="E74" s="148" t="s">
        <v>696</v>
      </c>
      <c r="F74" s="149">
        <f>75000*3.5%+75000</f>
        <v>77625</v>
      </c>
      <c r="G74" s="87">
        <f t="shared" si="1"/>
        <v>77625</v>
      </c>
      <c r="H74" s="83" t="s">
        <v>715</v>
      </c>
      <c r="I74" s="40" t="s">
        <v>716</v>
      </c>
      <c r="J74" s="129" t="s">
        <v>994</v>
      </c>
      <c r="K74" s="40" t="s">
        <v>71</v>
      </c>
      <c r="L74" s="40" t="s">
        <v>717</v>
      </c>
    </row>
    <row r="75" spans="1:12" ht="24" x14ac:dyDescent="0.25">
      <c r="A75" s="83">
        <v>72</v>
      </c>
      <c r="B75" s="146" t="s">
        <v>528</v>
      </c>
      <c r="C75" s="40" t="s">
        <v>695</v>
      </c>
      <c r="D75" s="123">
        <v>1</v>
      </c>
      <c r="E75" s="148" t="s">
        <v>696</v>
      </c>
      <c r="F75" s="149">
        <f>35000*3.5%+35000</f>
        <v>36225</v>
      </c>
      <c r="G75" s="87">
        <f t="shared" si="1"/>
        <v>36225</v>
      </c>
      <c r="H75" s="83" t="s">
        <v>715</v>
      </c>
      <c r="I75" s="40" t="s">
        <v>716</v>
      </c>
      <c r="J75" s="129" t="s">
        <v>994</v>
      </c>
      <c r="K75" s="40" t="s">
        <v>71</v>
      </c>
      <c r="L75" s="40" t="s">
        <v>717</v>
      </c>
    </row>
    <row r="76" spans="1:12" ht="24" x14ac:dyDescent="0.25">
      <c r="A76" s="83">
        <v>73</v>
      </c>
      <c r="B76" s="146" t="s">
        <v>529</v>
      </c>
      <c r="C76" s="40" t="s">
        <v>695</v>
      </c>
      <c r="D76" s="123">
        <v>1</v>
      </c>
      <c r="E76" s="148" t="s">
        <v>696</v>
      </c>
      <c r="F76" s="149">
        <f>40000*3.5%+40000</f>
        <v>41400</v>
      </c>
      <c r="G76" s="87">
        <f t="shared" si="1"/>
        <v>41400</v>
      </c>
      <c r="H76" s="83" t="s">
        <v>715</v>
      </c>
      <c r="I76" s="40" t="s">
        <v>716</v>
      </c>
      <c r="J76" s="129" t="s">
        <v>994</v>
      </c>
      <c r="K76" s="40" t="s">
        <v>71</v>
      </c>
      <c r="L76" s="40" t="s">
        <v>717</v>
      </c>
    </row>
    <row r="77" spans="1:12" ht="24" x14ac:dyDescent="0.25">
      <c r="A77" s="83">
        <v>74</v>
      </c>
      <c r="B77" s="146" t="s">
        <v>530</v>
      </c>
      <c r="C77" s="40" t="s">
        <v>695</v>
      </c>
      <c r="D77" s="123">
        <v>1</v>
      </c>
      <c r="E77" s="148" t="s">
        <v>696</v>
      </c>
      <c r="F77" s="149">
        <f>4000*3.5%+4000</f>
        <v>4140</v>
      </c>
      <c r="G77" s="87">
        <f t="shared" si="1"/>
        <v>4140</v>
      </c>
      <c r="H77" s="83" t="s">
        <v>715</v>
      </c>
      <c r="I77" s="40" t="s">
        <v>716</v>
      </c>
      <c r="J77" s="129" t="s">
        <v>994</v>
      </c>
      <c r="K77" s="40" t="s">
        <v>71</v>
      </c>
      <c r="L77" s="40" t="s">
        <v>717</v>
      </c>
    </row>
    <row r="78" spans="1:12" ht="24" x14ac:dyDescent="0.25">
      <c r="A78" s="83">
        <v>75</v>
      </c>
      <c r="B78" s="146" t="s">
        <v>531</v>
      </c>
      <c r="C78" s="40" t="s">
        <v>695</v>
      </c>
      <c r="D78" s="123">
        <v>1</v>
      </c>
      <c r="E78" s="148" t="s">
        <v>696</v>
      </c>
      <c r="F78" s="149">
        <f>4500*3.5%+4500</f>
        <v>4657.5</v>
      </c>
      <c r="G78" s="87">
        <f t="shared" si="1"/>
        <v>4657.5</v>
      </c>
      <c r="H78" s="83" t="s">
        <v>715</v>
      </c>
      <c r="I78" s="40" t="s">
        <v>716</v>
      </c>
      <c r="J78" s="129" t="s">
        <v>994</v>
      </c>
      <c r="K78" s="40" t="s">
        <v>71</v>
      </c>
      <c r="L78" s="40" t="s">
        <v>717</v>
      </c>
    </row>
    <row r="79" spans="1:12" ht="24" x14ac:dyDescent="0.25">
      <c r="A79" s="83">
        <v>76</v>
      </c>
      <c r="B79" s="146" t="s">
        <v>532</v>
      </c>
      <c r="C79" s="40" t="s">
        <v>695</v>
      </c>
      <c r="D79" s="123">
        <v>1</v>
      </c>
      <c r="E79" s="148" t="s">
        <v>700</v>
      </c>
      <c r="F79" s="149">
        <f>43000*3.5%+43000</f>
        <v>44505</v>
      </c>
      <c r="G79" s="87">
        <f t="shared" si="1"/>
        <v>44505</v>
      </c>
      <c r="H79" s="83" t="s">
        <v>715</v>
      </c>
      <c r="I79" s="40" t="s">
        <v>716</v>
      </c>
      <c r="J79" s="129" t="s">
        <v>994</v>
      </c>
      <c r="K79" s="40" t="s">
        <v>71</v>
      </c>
      <c r="L79" s="40" t="s">
        <v>717</v>
      </c>
    </row>
    <row r="80" spans="1:12" ht="24" x14ac:dyDescent="0.25">
      <c r="A80" s="83">
        <v>77</v>
      </c>
      <c r="B80" s="146" t="s">
        <v>533</v>
      </c>
      <c r="C80" s="40" t="s">
        <v>695</v>
      </c>
      <c r="D80" s="123">
        <v>1</v>
      </c>
      <c r="E80" s="148" t="s">
        <v>696</v>
      </c>
      <c r="F80" s="149">
        <f>1300000*3.5%+1300000</f>
        <v>1345500</v>
      </c>
      <c r="G80" s="87">
        <f t="shared" si="1"/>
        <v>1345500</v>
      </c>
      <c r="H80" s="83" t="s">
        <v>715</v>
      </c>
      <c r="I80" s="40" t="s">
        <v>716</v>
      </c>
      <c r="J80" s="129" t="s">
        <v>994</v>
      </c>
      <c r="K80" s="40" t="s">
        <v>71</v>
      </c>
      <c r="L80" s="40" t="s">
        <v>717</v>
      </c>
    </row>
    <row r="81" spans="1:12" ht="24" x14ac:dyDescent="0.25">
      <c r="A81" s="83">
        <v>78</v>
      </c>
      <c r="B81" s="146" t="s">
        <v>534</v>
      </c>
      <c r="C81" s="40" t="s">
        <v>695</v>
      </c>
      <c r="D81" s="123">
        <v>1</v>
      </c>
      <c r="E81" s="148" t="s">
        <v>696</v>
      </c>
      <c r="F81" s="149">
        <f>18000*3.5%+18000</f>
        <v>18630</v>
      </c>
      <c r="G81" s="87">
        <f t="shared" si="1"/>
        <v>18630</v>
      </c>
      <c r="H81" s="83" t="s">
        <v>715</v>
      </c>
      <c r="I81" s="40" t="s">
        <v>716</v>
      </c>
      <c r="J81" s="129" t="s">
        <v>994</v>
      </c>
      <c r="K81" s="40" t="s">
        <v>71</v>
      </c>
      <c r="L81" s="40" t="s">
        <v>717</v>
      </c>
    </row>
    <row r="82" spans="1:12" ht="24" x14ac:dyDescent="0.25">
      <c r="A82" s="83">
        <v>79</v>
      </c>
      <c r="B82" s="146" t="s">
        <v>535</v>
      </c>
      <c r="C82" s="40" t="s">
        <v>695</v>
      </c>
      <c r="D82" s="123">
        <v>1</v>
      </c>
      <c r="E82" s="148" t="s">
        <v>696</v>
      </c>
      <c r="F82" s="149">
        <f>12000*3.5%+12000</f>
        <v>12420</v>
      </c>
      <c r="G82" s="87">
        <f t="shared" si="1"/>
        <v>12420</v>
      </c>
      <c r="H82" s="83" t="s">
        <v>715</v>
      </c>
      <c r="I82" s="40" t="s">
        <v>716</v>
      </c>
      <c r="J82" s="129" t="s">
        <v>994</v>
      </c>
      <c r="K82" s="40" t="s">
        <v>71</v>
      </c>
      <c r="L82" s="40" t="s">
        <v>717</v>
      </c>
    </row>
    <row r="83" spans="1:12" ht="24" x14ac:dyDescent="0.25">
      <c r="A83" s="83">
        <v>80</v>
      </c>
      <c r="B83" s="146" t="s">
        <v>536</v>
      </c>
      <c r="C83" s="40" t="s">
        <v>695</v>
      </c>
      <c r="D83" s="123">
        <v>1</v>
      </c>
      <c r="E83" s="148" t="s">
        <v>696</v>
      </c>
      <c r="F83" s="149">
        <f>18000*3.5%+18000</f>
        <v>18630</v>
      </c>
      <c r="G83" s="87">
        <f t="shared" si="1"/>
        <v>18630</v>
      </c>
      <c r="H83" s="83" t="s">
        <v>715</v>
      </c>
      <c r="I83" s="40" t="s">
        <v>716</v>
      </c>
      <c r="J83" s="129" t="s">
        <v>994</v>
      </c>
      <c r="K83" s="40" t="s">
        <v>71</v>
      </c>
      <c r="L83" s="40" t="s">
        <v>717</v>
      </c>
    </row>
    <row r="84" spans="1:12" ht="24" x14ac:dyDescent="0.25">
      <c r="A84" s="83">
        <v>81</v>
      </c>
      <c r="B84" s="146" t="s">
        <v>537</v>
      </c>
      <c r="C84" s="40" t="s">
        <v>695</v>
      </c>
      <c r="D84" s="123">
        <v>1</v>
      </c>
      <c r="E84" s="148" t="s">
        <v>696</v>
      </c>
      <c r="F84" s="149">
        <f>15000*3.5%+15000</f>
        <v>15525</v>
      </c>
      <c r="G84" s="87">
        <f t="shared" si="1"/>
        <v>15525</v>
      </c>
      <c r="H84" s="83" t="s">
        <v>715</v>
      </c>
      <c r="I84" s="40" t="s">
        <v>716</v>
      </c>
      <c r="J84" s="129" t="s">
        <v>994</v>
      </c>
      <c r="K84" s="40" t="s">
        <v>71</v>
      </c>
      <c r="L84" s="40" t="s">
        <v>717</v>
      </c>
    </row>
    <row r="85" spans="1:12" ht="24" x14ac:dyDescent="0.25">
      <c r="A85" s="83">
        <v>82</v>
      </c>
      <c r="B85" s="146" t="s">
        <v>538</v>
      </c>
      <c r="C85" s="40" t="s">
        <v>695</v>
      </c>
      <c r="D85" s="123">
        <v>1</v>
      </c>
      <c r="E85" s="148" t="s">
        <v>696</v>
      </c>
      <c r="F85" s="149">
        <f>12000*3.5%+12000</f>
        <v>12420</v>
      </c>
      <c r="G85" s="87">
        <f t="shared" si="1"/>
        <v>12420</v>
      </c>
      <c r="H85" s="83" t="s">
        <v>715</v>
      </c>
      <c r="I85" s="40" t="s">
        <v>716</v>
      </c>
      <c r="J85" s="129" t="s">
        <v>994</v>
      </c>
      <c r="K85" s="40" t="s">
        <v>71</v>
      </c>
      <c r="L85" s="40" t="s">
        <v>717</v>
      </c>
    </row>
    <row r="86" spans="1:12" ht="24" x14ac:dyDescent="0.25">
      <c r="A86" s="83">
        <v>83</v>
      </c>
      <c r="B86" s="118" t="s">
        <v>539</v>
      </c>
      <c r="C86" s="40" t="s">
        <v>695</v>
      </c>
      <c r="D86" s="123">
        <v>1</v>
      </c>
      <c r="E86" s="148" t="s">
        <v>696</v>
      </c>
      <c r="F86" s="149">
        <f>13000*3.5%+13000</f>
        <v>13455</v>
      </c>
      <c r="G86" s="87">
        <f t="shared" si="1"/>
        <v>13455</v>
      </c>
      <c r="H86" s="83" t="s">
        <v>715</v>
      </c>
      <c r="I86" s="40" t="s">
        <v>716</v>
      </c>
      <c r="J86" s="129" t="s">
        <v>994</v>
      </c>
      <c r="K86" s="40" t="s">
        <v>71</v>
      </c>
      <c r="L86" s="40" t="s">
        <v>717</v>
      </c>
    </row>
    <row r="87" spans="1:12" ht="24" x14ac:dyDescent="0.25">
      <c r="A87" s="83">
        <v>84</v>
      </c>
      <c r="B87" s="118" t="s">
        <v>540</v>
      </c>
      <c r="C87" s="40" t="s">
        <v>695</v>
      </c>
      <c r="D87" s="123">
        <v>1</v>
      </c>
      <c r="E87" s="148" t="s">
        <v>696</v>
      </c>
      <c r="F87" s="149">
        <f>25000*3.5%+25000</f>
        <v>25875</v>
      </c>
      <c r="G87" s="87">
        <f t="shared" si="1"/>
        <v>25875</v>
      </c>
      <c r="H87" s="83" t="s">
        <v>715</v>
      </c>
      <c r="I87" s="40" t="s">
        <v>716</v>
      </c>
      <c r="J87" s="129" t="s">
        <v>994</v>
      </c>
      <c r="K87" s="40" t="s">
        <v>71</v>
      </c>
      <c r="L87" s="40" t="s">
        <v>717</v>
      </c>
    </row>
    <row r="88" spans="1:12" ht="24" x14ac:dyDescent="0.25">
      <c r="A88" s="83">
        <v>85</v>
      </c>
      <c r="B88" s="118" t="s">
        <v>541</v>
      </c>
      <c r="C88" s="40" t="s">
        <v>695</v>
      </c>
      <c r="D88" s="123">
        <v>1</v>
      </c>
      <c r="E88" s="148" t="s">
        <v>701</v>
      </c>
      <c r="F88" s="149">
        <f>15000*3.5%+15000</f>
        <v>15525</v>
      </c>
      <c r="G88" s="87">
        <f t="shared" si="1"/>
        <v>15525</v>
      </c>
      <c r="H88" s="83" t="s">
        <v>715</v>
      </c>
      <c r="I88" s="40" t="s">
        <v>716</v>
      </c>
      <c r="J88" s="129" t="s">
        <v>994</v>
      </c>
      <c r="K88" s="40" t="s">
        <v>71</v>
      </c>
      <c r="L88" s="40" t="s">
        <v>717</v>
      </c>
    </row>
    <row r="89" spans="1:12" ht="24" x14ac:dyDescent="0.25">
      <c r="A89" s="83">
        <v>86</v>
      </c>
      <c r="B89" s="118" t="s">
        <v>542</v>
      </c>
      <c r="C89" s="40" t="s">
        <v>695</v>
      </c>
      <c r="D89" s="123">
        <v>1</v>
      </c>
      <c r="E89" s="148" t="s">
        <v>702</v>
      </c>
      <c r="F89" s="149">
        <f>95000*3.5%+95000</f>
        <v>98325</v>
      </c>
      <c r="G89" s="87">
        <f t="shared" si="1"/>
        <v>98325</v>
      </c>
      <c r="H89" s="83" t="s">
        <v>715</v>
      </c>
      <c r="I89" s="40" t="s">
        <v>716</v>
      </c>
      <c r="J89" s="129" t="s">
        <v>994</v>
      </c>
      <c r="K89" s="40" t="s">
        <v>71</v>
      </c>
      <c r="L89" s="40" t="s">
        <v>717</v>
      </c>
    </row>
    <row r="90" spans="1:12" ht="24" x14ac:dyDescent="0.25">
      <c r="A90" s="83">
        <v>87</v>
      </c>
      <c r="B90" s="118" t="s">
        <v>543</v>
      </c>
      <c r="C90" s="40" t="s">
        <v>695</v>
      </c>
      <c r="D90" s="123">
        <v>1</v>
      </c>
      <c r="E90" s="148" t="s">
        <v>696</v>
      </c>
      <c r="F90" s="149">
        <f>25000*3.5%+25000</f>
        <v>25875</v>
      </c>
      <c r="G90" s="87">
        <f t="shared" si="1"/>
        <v>25875</v>
      </c>
      <c r="H90" s="83" t="s">
        <v>715</v>
      </c>
      <c r="I90" s="40" t="s">
        <v>716</v>
      </c>
      <c r="J90" s="129" t="s">
        <v>994</v>
      </c>
      <c r="K90" s="40" t="s">
        <v>71</v>
      </c>
      <c r="L90" s="40" t="s">
        <v>717</v>
      </c>
    </row>
    <row r="91" spans="1:12" ht="24" x14ac:dyDescent="0.25">
      <c r="A91" s="83">
        <v>88</v>
      </c>
      <c r="B91" s="118" t="s">
        <v>544</v>
      </c>
      <c r="C91" s="40" t="s">
        <v>695</v>
      </c>
      <c r="D91" s="123">
        <v>1</v>
      </c>
      <c r="E91" s="148" t="s">
        <v>696</v>
      </c>
      <c r="F91" s="149">
        <f>29000*3.5%+29000</f>
        <v>30015</v>
      </c>
      <c r="G91" s="87">
        <f t="shared" si="1"/>
        <v>30015</v>
      </c>
      <c r="H91" s="83" t="s">
        <v>715</v>
      </c>
      <c r="I91" s="40" t="s">
        <v>716</v>
      </c>
      <c r="J91" s="129" t="s">
        <v>994</v>
      </c>
      <c r="K91" s="40" t="s">
        <v>71</v>
      </c>
      <c r="L91" s="40" t="s">
        <v>717</v>
      </c>
    </row>
    <row r="92" spans="1:12" ht="24" x14ac:dyDescent="0.25">
      <c r="A92" s="83">
        <v>89</v>
      </c>
      <c r="B92" s="118" t="s">
        <v>545</v>
      </c>
      <c r="C92" s="40" t="s">
        <v>695</v>
      </c>
      <c r="D92" s="123">
        <v>1</v>
      </c>
      <c r="E92" s="148" t="s">
        <v>703</v>
      </c>
      <c r="F92" s="149">
        <f>120000*3.5%+120000</f>
        <v>124200</v>
      </c>
      <c r="G92" s="87">
        <f t="shared" si="1"/>
        <v>124200</v>
      </c>
      <c r="H92" s="83" t="s">
        <v>715</v>
      </c>
      <c r="I92" s="40" t="s">
        <v>716</v>
      </c>
      <c r="J92" s="129" t="s">
        <v>994</v>
      </c>
      <c r="K92" s="40" t="s">
        <v>71</v>
      </c>
      <c r="L92" s="40" t="s">
        <v>717</v>
      </c>
    </row>
    <row r="93" spans="1:12" ht="36" x14ac:dyDescent="0.25">
      <c r="A93" s="83">
        <v>90</v>
      </c>
      <c r="B93" s="146" t="s">
        <v>546</v>
      </c>
      <c r="C93" s="40" t="s">
        <v>695</v>
      </c>
      <c r="D93" s="123">
        <v>1</v>
      </c>
      <c r="E93" s="148" t="s">
        <v>696</v>
      </c>
      <c r="F93" s="149">
        <f>28000*3.5%+28000</f>
        <v>28980</v>
      </c>
      <c r="G93" s="87">
        <f t="shared" si="1"/>
        <v>28980</v>
      </c>
      <c r="H93" s="83" t="s">
        <v>715</v>
      </c>
      <c r="I93" s="40" t="s">
        <v>716</v>
      </c>
      <c r="J93" s="129" t="s">
        <v>994</v>
      </c>
      <c r="K93" s="40" t="s">
        <v>71</v>
      </c>
      <c r="L93" s="40" t="s">
        <v>717</v>
      </c>
    </row>
    <row r="94" spans="1:12" ht="24" x14ac:dyDescent="0.25">
      <c r="A94" s="83">
        <v>91</v>
      </c>
      <c r="B94" s="146" t="s">
        <v>547</v>
      </c>
      <c r="C94" s="40" t="s">
        <v>695</v>
      </c>
      <c r="D94" s="123">
        <v>1</v>
      </c>
      <c r="E94" s="148" t="s">
        <v>703</v>
      </c>
      <c r="F94" s="149">
        <f>110000*3.5%+110000</f>
        <v>113850</v>
      </c>
      <c r="G94" s="87">
        <f t="shared" si="1"/>
        <v>113850</v>
      </c>
      <c r="H94" s="83" t="s">
        <v>715</v>
      </c>
      <c r="I94" s="40" t="s">
        <v>716</v>
      </c>
      <c r="J94" s="129" t="s">
        <v>994</v>
      </c>
      <c r="K94" s="40" t="s">
        <v>71</v>
      </c>
      <c r="L94" s="40" t="s">
        <v>717</v>
      </c>
    </row>
    <row r="95" spans="1:12" ht="36" x14ac:dyDescent="0.25">
      <c r="A95" s="83">
        <v>92</v>
      </c>
      <c r="B95" s="146" t="s">
        <v>548</v>
      </c>
      <c r="C95" s="40" t="s">
        <v>695</v>
      </c>
      <c r="D95" s="123">
        <v>1</v>
      </c>
      <c r="E95" s="148" t="s">
        <v>703</v>
      </c>
      <c r="F95" s="149">
        <f>18000*3.5%+18000</f>
        <v>18630</v>
      </c>
      <c r="G95" s="87">
        <f t="shared" si="1"/>
        <v>18630</v>
      </c>
      <c r="H95" s="83" t="s">
        <v>715</v>
      </c>
      <c r="I95" s="40" t="s">
        <v>716</v>
      </c>
      <c r="J95" s="129" t="s">
        <v>994</v>
      </c>
      <c r="K95" s="40" t="s">
        <v>71</v>
      </c>
      <c r="L95" s="40" t="s">
        <v>717</v>
      </c>
    </row>
    <row r="96" spans="1:12" ht="24" x14ac:dyDescent="0.25">
      <c r="A96" s="83">
        <v>93</v>
      </c>
      <c r="B96" s="146" t="s">
        <v>549</v>
      </c>
      <c r="C96" s="40" t="s">
        <v>695</v>
      </c>
      <c r="D96" s="123">
        <v>1</v>
      </c>
      <c r="E96" s="148" t="s">
        <v>704</v>
      </c>
      <c r="F96" s="149">
        <f>39000*3.5%+39000</f>
        <v>40365</v>
      </c>
      <c r="G96" s="87">
        <f t="shared" si="1"/>
        <v>40365</v>
      </c>
      <c r="H96" s="83" t="s">
        <v>715</v>
      </c>
      <c r="I96" s="40" t="s">
        <v>716</v>
      </c>
      <c r="J96" s="129" t="s">
        <v>994</v>
      </c>
      <c r="K96" s="40" t="s">
        <v>71</v>
      </c>
      <c r="L96" s="40" t="s">
        <v>717</v>
      </c>
    </row>
    <row r="97" spans="1:12" ht="24" x14ac:dyDescent="0.25">
      <c r="A97" s="83">
        <v>94</v>
      </c>
      <c r="B97" s="146" t="s">
        <v>550</v>
      </c>
      <c r="C97" s="40" t="s">
        <v>695</v>
      </c>
      <c r="D97" s="123">
        <v>1</v>
      </c>
      <c r="E97" s="148" t="s">
        <v>705</v>
      </c>
      <c r="F97" s="149">
        <f>1000*3.5%+1000</f>
        <v>1035</v>
      </c>
      <c r="G97" s="87">
        <f t="shared" si="1"/>
        <v>1035</v>
      </c>
      <c r="H97" s="83" t="s">
        <v>715</v>
      </c>
      <c r="I97" s="40" t="s">
        <v>716</v>
      </c>
      <c r="J97" s="129" t="s">
        <v>994</v>
      </c>
      <c r="K97" s="40" t="s">
        <v>71</v>
      </c>
      <c r="L97" s="40" t="s">
        <v>717</v>
      </c>
    </row>
    <row r="98" spans="1:12" ht="24" x14ac:dyDescent="0.25">
      <c r="A98" s="83">
        <v>95</v>
      </c>
      <c r="B98" s="146" t="s">
        <v>551</v>
      </c>
      <c r="C98" s="40" t="s">
        <v>695</v>
      </c>
      <c r="D98" s="123">
        <v>1</v>
      </c>
      <c r="E98" s="148" t="s">
        <v>705</v>
      </c>
      <c r="F98" s="149">
        <f t="shared" ref="F98:F100" si="2">1000*3.5%+1000</f>
        <v>1035</v>
      </c>
      <c r="G98" s="87">
        <f t="shared" si="1"/>
        <v>1035</v>
      </c>
      <c r="H98" s="83" t="s">
        <v>715</v>
      </c>
      <c r="I98" s="40" t="s">
        <v>716</v>
      </c>
      <c r="J98" s="129" t="s">
        <v>994</v>
      </c>
      <c r="K98" s="40" t="s">
        <v>71</v>
      </c>
      <c r="L98" s="40" t="s">
        <v>717</v>
      </c>
    </row>
    <row r="99" spans="1:12" ht="24" x14ac:dyDescent="0.25">
      <c r="A99" s="83">
        <v>96</v>
      </c>
      <c r="B99" s="146" t="s">
        <v>552</v>
      </c>
      <c r="C99" s="40" t="s">
        <v>695</v>
      </c>
      <c r="D99" s="123">
        <v>1</v>
      </c>
      <c r="E99" s="148" t="s">
        <v>705</v>
      </c>
      <c r="F99" s="149">
        <f t="shared" si="2"/>
        <v>1035</v>
      </c>
      <c r="G99" s="87">
        <f t="shared" si="1"/>
        <v>1035</v>
      </c>
      <c r="H99" s="83" t="s">
        <v>715</v>
      </c>
      <c r="I99" s="40" t="s">
        <v>716</v>
      </c>
      <c r="J99" s="129" t="s">
        <v>994</v>
      </c>
      <c r="K99" s="40" t="s">
        <v>71</v>
      </c>
      <c r="L99" s="40" t="s">
        <v>717</v>
      </c>
    </row>
    <row r="100" spans="1:12" ht="24" x14ac:dyDescent="0.25">
      <c r="A100" s="83">
        <v>97</v>
      </c>
      <c r="B100" s="146" t="s">
        <v>553</v>
      </c>
      <c r="C100" s="40" t="s">
        <v>695</v>
      </c>
      <c r="D100" s="123">
        <v>1</v>
      </c>
      <c r="E100" s="148" t="s">
        <v>705</v>
      </c>
      <c r="F100" s="149">
        <f t="shared" si="2"/>
        <v>1035</v>
      </c>
      <c r="G100" s="87">
        <f t="shared" si="1"/>
        <v>1035</v>
      </c>
      <c r="H100" s="83" t="s">
        <v>715</v>
      </c>
      <c r="I100" s="40" t="s">
        <v>716</v>
      </c>
      <c r="J100" s="129" t="s">
        <v>994</v>
      </c>
      <c r="K100" s="40" t="s">
        <v>71</v>
      </c>
      <c r="L100" s="40" t="s">
        <v>717</v>
      </c>
    </row>
    <row r="101" spans="1:12" ht="24" x14ac:dyDescent="0.25">
      <c r="A101" s="83">
        <v>98</v>
      </c>
      <c r="B101" s="146" t="s">
        <v>554</v>
      </c>
      <c r="C101" s="40" t="s">
        <v>695</v>
      </c>
      <c r="D101" s="123">
        <v>1</v>
      </c>
      <c r="E101" s="148" t="s">
        <v>703</v>
      </c>
      <c r="F101" s="149">
        <f>98000*3.5%+98000</f>
        <v>101430</v>
      </c>
      <c r="G101" s="87">
        <f t="shared" si="1"/>
        <v>101430</v>
      </c>
      <c r="H101" s="83" t="s">
        <v>715</v>
      </c>
      <c r="I101" s="40" t="s">
        <v>716</v>
      </c>
      <c r="J101" s="129" t="s">
        <v>994</v>
      </c>
      <c r="K101" s="40" t="s">
        <v>71</v>
      </c>
      <c r="L101" s="40" t="s">
        <v>717</v>
      </c>
    </row>
    <row r="102" spans="1:12" ht="36" x14ac:dyDescent="0.25">
      <c r="A102" s="83">
        <v>99</v>
      </c>
      <c r="B102" s="146" t="s">
        <v>555</v>
      </c>
      <c r="C102" s="40" t="s">
        <v>695</v>
      </c>
      <c r="D102" s="123">
        <v>1</v>
      </c>
      <c r="E102" s="148" t="s">
        <v>696</v>
      </c>
      <c r="F102" s="149">
        <f>25000*3.5%+25000</f>
        <v>25875</v>
      </c>
      <c r="G102" s="87">
        <f t="shared" si="1"/>
        <v>25875</v>
      </c>
      <c r="H102" s="83" t="s">
        <v>715</v>
      </c>
      <c r="I102" s="40" t="s">
        <v>716</v>
      </c>
      <c r="J102" s="129" t="s">
        <v>994</v>
      </c>
      <c r="K102" s="40" t="s">
        <v>71</v>
      </c>
      <c r="L102" s="40" t="s">
        <v>717</v>
      </c>
    </row>
    <row r="103" spans="1:12" ht="36" x14ac:dyDescent="0.25">
      <c r="A103" s="83">
        <v>100</v>
      </c>
      <c r="B103" s="146" t="s">
        <v>556</v>
      </c>
      <c r="C103" s="40" t="s">
        <v>695</v>
      </c>
      <c r="D103" s="123">
        <v>1</v>
      </c>
      <c r="E103" s="148" t="s">
        <v>696</v>
      </c>
      <c r="F103" s="149">
        <f>25000*3.5%+25000</f>
        <v>25875</v>
      </c>
      <c r="G103" s="87">
        <f t="shared" si="1"/>
        <v>25875</v>
      </c>
      <c r="H103" s="83" t="s">
        <v>715</v>
      </c>
      <c r="I103" s="40" t="s">
        <v>716</v>
      </c>
      <c r="J103" s="129" t="s">
        <v>994</v>
      </c>
      <c r="K103" s="40" t="s">
        <v>71</v>
      </c>
      <c r="L103" s="40" t="s">
        <v>717</v>
      </c>
    </row>
    <row r="104" spans="1:12" ht="24" x14ac:dyDescent="0.25">
      <c r="A104" s="83">
        <v>101</v>
      </c>
      <c r="B104" s="118" t="s">
        <v>557</v>
      </c>
      <c r="C104" s="40" t="s">
        <v>695</v>
      </c>
      <c r="D104" s="123">
        <v>1</v>
      </c>
      <c r="E104" s="148" t="s">
        <v>696</v>
      </c>
      <c r="F104" s="149">
        <f>18000*3.5%+18000</f>
        <v>18630</v>
      </c>
      <c r="G104" s="87">
        <f t="shared" si="1"/>
        <v>18630</v>
      </c>
      <c r="H104" s="83" t="s">
        <v>715</v>
      </c>
      <c r="I104" s="40" t="s">
        <v>716</v>
      </c>
      <c r="J104" s="129" t="s">
        <v>994</v>
      </c>
      <c r="K104" s="40" t="s">
        <v>71</v>
      </c>
      <c r="L104" s="40" t="s">
        <v>717</v>
      </c>
    </row>
    <row r="105" spans="1:12" ht="36" x14ac:dyDescent="0.25">
      <c r="A105" s="83">
        <v>102</v>
      </c>
      <c r="B105" s="146" t="s">
        <v>558</v>
      </c>
      <c r="C105" s="40" t="s">
        <v>695</v>
      </c>
      <c r="D105" s="123">
        <v>1</v>
      </c>
      <c r="E105" s="148" t="s">
        <v>703</v>
      </c>
      <c r="F105" s="149">
        <f>3200000*3.5%+3200000</f>
        <v>3312000</v>
      </c>
      <c r="G105" s="87">
        <f t="shared" si="1"/>
        <v>3312000</v>
      </c>
      <c r="H105" s="83" t="s">
        <v>715</v>
      </c>
      <c r="I105" s="40" t="s">
        <v>716</v>
      </c>
      <c r="J105" s="129" t="s">
        <v>994</v>
      </c>
      <c r="K105" s="40" t="s">
        <v>71</v>
      </c>
      <c r="L105" s="40" t="s">
        <v>717</v>
      </c>
    </row>
    <row r="106" spans="1:12" ht="24" x14ac:dyDescent="0.25">
      <c r="A106" s="83">
        <v>103</v>
      </c>
      <c r="B106" s="146" t="s">
        <v>559</v>
      </c>
      <c r="C106" s="40" t="s">
        <v>695</v>
      </c>
      <c r="D106" s="123">
        <v>1</v>
      </c>
      <c r="E106" s="148" t="s">
        <v>703</v>
      </c>
      <c r="F106" s="149">
        <f>45000*3.5%+45000</f>
        <v>46575</v>
      </c>
      <c r="G106" s="87">
        <f t="shared" si="1"/>
        <v>46575</v>
      </c>
      <c r="H106" s="83" t="s">
        <v>715</v>
      </c>
      <c r="I106" s="40" t="s">
        <v>716</v>
      </c>
      <c r="J106" s="129" t="s">
        <v>994</v>
      </c>
      <c r="K106" s="40" t="s">
        <v>71</v>
      </c>
      <c r="L106" s="40" t="s">
        <v>717</v>
      </c>
    </row>
    <row r="107" spans="1:12" ht="36" x14ac:dyDescent="0.25">
      <c r="A107" s="83">
        <v>104</v>
      </c>
      <c r="B107" s="146" t="s">
        <v>560</v>
      </c>
      <c r="C107" s="40" t="s">
        <v>695</v>
      </c>
      <c r="D107" s="123">
        <v>1</v>
      </c>
      <c r="E107" s="148" t="s">
        <v>703</v>
      </c>
      <c r="F107" s="149">
        <f>35000*3.5%+35000</f>
        <v>36225</v>
      </c>
      <c r="G107" s="87">
        <f t="shared" si="1"/>
        <v>36225</v>
      </c>
      <c r="H107" s="83" t="s">
        <v>715</v>
      </c>
      <c r="I107" s="40" t="s">
        <v>716</v>
      </c>
      <c r="J107" s="129" t="s">
        <v>994</v>
      </c>
      <c r="K107" s="40" t="s">
        <v>71</v>
      </c>
      <c r="L107" s="40" t="s">
        <v>717</v>
      </c>
    </row>
    <row r="108" spans="1:12" ht="24" x14ac:dyDescent="0.25">
      <c r="A108" s="83">
        <v>105</v>
      </c>
      <c r="B108" s="146" t="s">
        <v>561</v>
      </c>
      <c r="C108" s="40" t="s">
        <v>695</v>
      </c>
      <c r="D108" s="123">
        <v>1</v>
      </c>
      <c r="E108" s="148" t="s">
        <v>696</v>
      </c>
      <c r="F108" s="149">
        <f>48000*3.5%+48000</f>
        <v>49680</v>
      </c>
      <c r="G108" s="87">
        <f t="shared" si="1"/>
        <v>49680</v>
      </c>
      <c r="H108" s="83" t="s">
        <v>715</v>
      </c>
      <c r="I108" s="40" t="s">
        <v>716</v>
      </c>
      <c r="J108" s="129" t="s">
        <v>994</v>
      </c>
      <c r="K108" s="40" t="s">
        <v>71</v>
      </c>
      <c r="L108" s="40" t="s">
        <v>717</v>
      </c>
    </row>
    <row r="109" spans="1:12" ht="24" x14ac:dyDescent="0.25">
      <c r="A109" s="83">
        <v>106</v>
      </c>
      <c r="B109" s="146" t="s">
        <v>562</v>
      </c>
      <c r="C109" s="40" t="s">
        <v>695</v>
      </c>
      <c r="D109" s="123">
        <v>1</v>
      </c>
      <c r="E109" s="148" t="s">
        <v>706</v>
      </c>
      <c r="F109" s="149">
        <f>55000*3.5%+55000</f>
        <v>56925</v>
      </c>
      <c r="G109" s="87">
        <f t="shared" si="1"/>
        <v>56925</v>
      </c>
      <c r="H109" s="83" t="s">
        <v>715</v>
      </c>
      <c r="I109" s="40" t="s">
        <v>716</v>
      </c>
      <c r="J109" s="129" t="s">
        <v>994</v>
      </c>
      <c r="K109" s="40" t="s">
        <v>71</v>
      </c>
      <c r="L109" s="40" t="s">
        <v>717</v>
      </c>
    </row>
    <row r="110" spans="1:12" ht="24" x14ac:dyDescent="0.25">
      <c r="A110" s="83">
        <v>107</v>
      </c>
      <c r="B110" s="146" t="s">
        <v>563</v>
      </c>
      <c r="C110" s="40" t="s">
        <v>695</v>
      </c>
      <c r="D110" s="123">
        <v>1</v>
      </c>
      <c r="E110" s="148" t="s">
        <v>696</v>
      </c>
      <c r="F110" s="149">
        <f>55000*3.5%+55000</f>
        <v>56925</v>
      </c>
      <c r="G110" s="87">
        <f t="shared" si="1"/>
        <v>56925</v>
      </c>
      <c r="H110" s="83" t="s">
        <v>715</v>
      </c>
      <c r="I110" s="40" t="s">
        <v>716</v>
      </c>
      <c r="J110" s="129" t="s">
        <v>994</v>
      </c>
      <c r="K110" s="40" t="s">
        <v>71</v>
      </c>
      <c r="L110" s="40" t="s">
        <v>717</v>
      </c>
    </row>
    <row r="111" spans="1:12" ht="24" x14ac:dyDescent="0.25">
      <c r="A111" s="83">
        <v>108</v>
      </c>
      <c r="B111" s="146" t="s">
        <v>564</v>
      </c>
      <c r="C111" s="40" t="s">
        <v>695</v>
      </c>
      <c r="D111" s="123">
        <v>1</v>
      </c>
      <c r="E111" s="148" t="s">
        <v>706</v>
      </c>
      <c r="F111" s="149">
        <f>55000*3.5%+55000</f>
        <v>56925</v>
      </c>
      <c r="G111" s="87">
        <f t="shared" si="1"/>
        <v>56925</v>
      </c>
      <c r="H111" s="83" t="s">
        <v>715</v>
      </c>
      <c r="I111" s="40" t="s">
        <v>716</v>
      </c>
      <c r="J111" s="129" t="s">
        <v>994</v>
      </c>
      <c r="K111" s="40" t="s">
        <v>71</v>
      </c>
      <c r="L111" s="40" t="s">
        <v>717</v>
      </c>
    </row>
    <row r="112" spans="1:12" ht="24" x14ac:dyDescent="0.25">
      <c r="A112" s="83">
        <v>109</v>
      </c>
      <c r="B112" s="146" t="s">
        <v>565</v>
      </c>
      <c r="C112" s="40" t="s">
        <v>695</v>
      </c>
      <c r="D112" s="123">
        <v>1</v>
      </c>
      <c r="E112" s="148" t="s">
        <v>696</v>
      </c>
      <c r="F112" s="149">
        <f>75000*3.5%+75000</f>
        <v>77625</v>
      </c>
      <c r="G112" s="87">
        <f t="shared" si="1"/>
        <v>77625</v>
      </c>
      <c r="H112" s="83" t="s">
        <v>715</v>
      </c>
      <c r="I112" s="40" t="s">
        <v>716</v>
      </c>
      <c r="J112" s="129" t="s">
        <v>994</v>
      </c>
      <c r="K112" s="40" t="s">
        <v>71</v>
      </c>
      <c r="L112" s="40" t="s">
        <v>717</v>
      </c>
    </row>
    <row r="113" spans="1:12" ht="24" x14ac:dyDescent="0.25">
      <c r="A113" s="83">
        <v>110</v>
      </c>
      <c r="B113" s="146" t="s">
        <v>566</v>
      </c>
      <c r="C113" s="40" t="s">
        <v>695</v>
      </c>
      <c r="D113" s="123">
        <v>1</v>
      </c>
      <c r="E113" s="148" t="s">
        <v>696</v>
      </c>
      <c r="F113" s="149">
        <f>85000*3.5%+85000</f>
        <v>87975</v>
      </c>
      <c r="G113" s="87">
        <f t="shared" si="1"/>
        <v>87975</v>
      </c>
      <c r="H113" s="83" t="s">
        <v>715</v>
      </c>
      <c r="I113" s="40" t="s">
        <v>716</v>
      </c>
      <c r="J113" s="129" t="s">
        <v>994</v>
      </c>
      <c r="K113" s="40" t="s">
        <v>71</v>
      </c>
      <c r="L113" s="40" t="s">
        <v>717</v>
      </c>
    </row>
    <row r="114" spans="1:12" ht="24" x14ac:dyDescent="0.25">
      <c r="A114" s="83">
        <v>111</v>
      </c>
      <c r="B114" s="146" t="s">
        <v>567</v>
      </c>
      <c r="C114" s="40" t="s">
        <v>695</v>
      </c>
      <c r="D114" s="123">
        <v>1</v>
      </c>
      <c r="E114" s="148" t="s">
        <v>696</v>
      </c>
      <c r="F114" s="149">
        <f>65000*3.5%+65000</f>
        <v>67275</v>
      </c>
      <c r="G114" s="87">
        <f t="shared" si="1"/>
        <v>67275</v>
      </c>
      <c r="H114" s="83" t="s">
        <v>715</v>
      </c>
      <c r="I114" s="40" t="s">
        <v>716</v>
      </c>
      <c r="J114" s="129" t="s">
        <v>994</v>
      </c>
      <c r="K114" s="40" t="s">
        <v>71</v>
      </c>
      <c r="L114" s="40" t="s">
        <v>717</v>
      </c>
    </row>
    <row r="115" spans="1:12" ht="24" x14ac:dyDescent="0.25">
      <c r="A115" s="83">
        <v>112</v>
      </c>
      <c r="B115" s="146" t="s">
        <v>568</v>
      </c>
      <c r="C115" s="40" t="s">
        <v>695</v>
      </c>
      <c r="D115" s="123">
        <v>1</v>
      </c>
      <c r="E115" s="148" t="s">
        <v>696</v>
      </c>
      <c r="F115" s="149">
        <f>6000*3.5%+6000</f>
        <v>6210</v>
      </c>
      <c r="G115" s="87">
        <f t="shared" si="1"/>
        <v>6210</v>
      </c>
      <c r="H115" s="83" t="s">
        <v>715</v>
      </c>
      <c r="I115" s="40" t="s">
        <v>716</v>
      </c>
      <c r="J115" s="129" t="s">
        <v>994</v>
      </c>
      <c r="K115" s="40" t="s">
        <v>71</v>
      </c>
      <c r="L115" s="40" t="s">
        <v>717</v>
      </c>
    </row>
    <row r="116" spans="1:12" ht="24" x14ac:dyDescent="0.25">
      <c r="A116" s="83">
        <v>113</v>
      </c>
      <c r="B116" s="146" t="s">
        <v>569</v>
      </c>
      <c r="C116" s="40" t="s">
        <v>695</v>
      </c>
      <c r="D116" s="123">
        <v>1</v>
      </c>
      <c r="E116" s="148" t="s">
        <v>696</v>
      </c>
      <c r="F116" s="149">
        <f>150000*3.5%+150000</f>
        <v>155250</v>
      </c>
      <c r="G116" s="87">
        <f t="shared" si="1"/>
        <v>155250</v>
      </c>
      <c r="H116" s="83" t="s">
        <v>715</v>
      </c>
      <c r="I116" s="40" t="s">
        <v>716</v>
      </c>
      <c r="J116" s="129" t="s">
        <v>994</v>
      </c>
      <c r="K116" s="40" t="s">
        <v>71</v>
      </c>
      <c r="L116" s="40" t="s">
        <v>717</v>
      </c>
    </row>
    <row r="117" spans="1:12" ht="24" x14ac:dyDescent="0.25">
      <c r="A117" s="83">
        <v>114</v>
      </c>
      <c r="B117" s="146" t="s">
        <v>570</v>
      </c>
      <c r="C117" s="40" t="s">
        <v>695</v>
      </c>
      <c r="D117" s="123">
        <v>1</v>
      </c>
      <c r="E117" s="148" t="s">
        <v>696</v>
      </c>
      <c r="F117" s="149">
        <f>35000*3.5%+35000</f>
        <v>36225</v>
      </c>
      <c r="G117" s="87">
        <f t="shared" si="1"/>
        <v>36225</v>
      </c>
      <c r="H117" s="83" t="s">
        <v>715</v>
      </c>
      <c r="I117" s="40" t="s">
        <v>716</v>
      </c>
      <c r="J117" s="129" t="s">
        <v>994</v>
      </c>
      <c r="K117" s="40" t="s">
        <v>71</v>
      </c>
      <c r="L117" s="40" t="s">
        <v>717</v>
      </c>
    </row>
    <row r="118" spans="1:12" ht="24" x14ac:dyDescent="0.25">
      <c r="A118" s="83">
        <v>115</v>
      </c>
      <c r="B118" s="146" t="s">
        <v>571</v>
      </c>
      <c r="C118" s="40" t="s">
        <v>695</v>
      </c>
      <c r="D118" s="123">
        <v>1</v>
      </c>
      <c r="E118" s="148" t="s">
        <v>696</v>
      </c>
      <c r="F118" s="149">
        <f>6500*3.5%+6500</f>
        <v>6727.5</v>
      </c>
      <c r="G118" s="87">
        <f t="shared" si="1"/>
        <v>6727.5</v>
      </c>
      <c r="H118" s="83" t="s">
        <v>715</v>
      </c>
      <c r="I118" s="40" t="s">
        <v>716</v>
      </c>
      <c r="J118" s="129" t="s">
        <v>994</v>
      </c>
      <c r="K118" s="40" t="s">
        <v>71</v>
      </c>
      <c r="L118" s="40" t="s">
        <v>717</v>
      </c>
    </row>
    <row r="119" spans="1:12" ht="24" x14ac:dyDescent="0.25">
      <c r="A119" s="83">
        <v>116</v>
      </c>
      <c r="B119" s="146" t="s">
        <v>572</v>
      </c>
      <c r="C119" s="40" t="s">
        <v>695</v>
      </c>
      <c r="D119" s="123">
        <v>1</v>
      </c>
      <c r="E119" s="148" t="s">
        <v>696</v>
      </c>
      <c r="F119" s="149">
        <f>55000*3.5%+55000</f>
        <v>56925</v>
      </c>
      <c r="G119" s="87">
        <f t="shared" si="1"/>
        <v>56925</v>
      </c>
      <c r="H119" s="83" t="s">
        <v>715</v>
      </c>
      <c r="I119" s="40" t="s">
        <v>716</v>
      </c>
      <c r="J119" s="129" t="s">
        <v>994</v>
      </c>
      <c r="K119" s="40" t="s">
        <v>71</v>
      </c>
      <c r="L119" s="40" t="s">
        <v>717</v>
      </c>
    </row>
    <row r="120" spans="1:12" ht="24" x14ac:dyDescent="0.25">
      <c r="A120" s="83">
        <v>117</v>
      </c>
      <c r="B120" s="146" t="s">
        <v>573</v>
      </c>
      <c r="C120" s="40" t="s">
        <v>695</v>
      </c>
      <c r="D120" s="123">
        <v>1</v>
      </c>
      <c r="E120" s="148" t="s">
        <v>707</v>
      </c>
      <c r="F120" s="125">
        <f>15000*3.5%+15000</f>
        <v>15525</v>
      </c>
      <c r="G120" s="87">
        <f t="shared" si="1"/>
        <v>15525</v>
      </c>
      <c r="H120" s="83" t="s">
        <v>715</v>
      </c>
      <c r="I120" s="40" t="s">
        <v>716</v>
      </c>
      <c r="J120" s="129" t="s">
        <v>994</v>
      </c>
      <c r="K120" s="40" t="s">
        <v>71</v>
      </c>
      <c r="L120" s="40" t="s">
        <v>717</v>
      </c>
    </row>
    <row r="121" spans="1:12" ht="24" x14ac:dyDescent="0.25">
      <c r="A121" s="83">
        <v>118</v>
      </c>
      <c r="B121" s="146" t="s">
        <v>574</v>
      </c>
      <c r="C121" s="40" t="s">
        <v>695</v>
      </c>
      <c r="D121" s="123">
        <v>1</v>
      </c>
      <c r="E121" s="148" t="s">
        <v>696</v>
      </c>
      <c r="F121" s="149">
        <f>22000*3.5%+22000</f>
        <v>22770</v>
      </c>
      <c r="G121" s="87">
        <f t="shared" si="1"/>
        <v>22770</v>
      </c>
      <c r="H121" s="83" t="s">
        <v>715</v>
      </c>
      <c r="I121" s="40" t="s">
        <v>716</v>
      </c>
      <c r="J121" s="129" t="s">
        <v>994</v>
      </c>
      <c r="K121" s="40" t="s">
        <v>71</v>
      </c>
      <c r="L121" s="40" t="s">
        <v>717</v>
      </c>
    </row>
    <row r="122" spans="1:12" ht="24" x14ac:dyDescent="0.25">
      <c r="A122" s="83">
        <v>119</v>
      </c>
      <c r="B122" s="146" t="s">
        <v>575</v>
      </c>
      <c r="C122" s="40" t="s">
        <v>695</v>
      </c>
      <c r="D122" s="123">
        <v>1</v>
      </c>
      <c r="E122" s="148" t="s">
        <v>696</v>
      </c>
      <c r="F122" s="149">
        <f>35000*3.5%+35000</f>
        <v>36225</v>
      </c>
      <c r="G122" s="87">
        <f t="shared" si="1"/>
        <v>36225</v>
      </c>
      <c r="H122" s="83" t="s">
        <v>715</v>
      </c>
      <c r="I122" s="40" t="s">
        <v>716</v>
      </c>
      <c r="J122" s="129" t="s">
        <v>994</v>
      </c>
      <c r="K122" s="40" t="s">
        <v>71</v>
      </c>
      <c r="L122" s="40" t="s">
        <v>717</v>
      </c>
    </row>
    <row r="123" spans="1:12" ht="24" x14ac:dyDescent="0.25">
      <c r="A123" s="83">
        <v>120</v>
      </c>
      <c r="B123" s="146" t="s">
        <v>576</v>
      </c>
      <c r="C123" s="40" t="s">
        <v>695</v>
      </c>
      <c r="D123" s="123">
        <v>1</v>
      </c>
      <c r="E123" s="148" t="s">
        <v>696</v>
      </c>
      <c r="F123" s="149">
        <f>75000*3.5%+75000</f>
        <v>77625</v>
      </c>
      <c r="G123" s="87">
        <f t="shared" si="1"/>
        <v>77625</v>
      </c>
      <c r="H123" s="83" t="s">
        <v>715</v>
      </c>
      <c r="I123" s="40" t="s">
        <v>716</v>
      </c>
      <c r="J123" s="129" t="s">
        <v>994</v>
      </c>
      <c r="K123" s="40" t="s">
        <v>71</v>
      </c>
      <c r="L123" s="40" t="s">
        <v>717</v>
      </c>
    </row>
    <row r="124" spans="1:12" ht="24" x14ac:dyDescent="0.25">
      <c r="A124" s="83">
        <v>121</v>
      </c>
      <c r="B124" s="146" t="s">
        <v>577</v>
      </c>
      <c r="C124" s="40" t="s">
        <v>695</v>
      </c>
      <c r="D124" s="123">
        <v>1</v>
      </c>
      <c r="E124" s="148" t="s">
        <v>696</v>
      </c>
      <c r="F124" s="149">
        <f>18000*3.5%+18000</f>
        <v>18630</v>
      </c>
      <c r="G124" s="87">
        <f t="shared" si="1"/>
        <v>18630</v>
      </c>
      <c r="H124" s="83" t="s">
        <v>715</v>
      </c>
      <c r="I124" s="40" t="s">
        <v>716</v>
      </c>
      <c r="J124" s="129" t="s">
        <v>994</v>
      </c>
      <c r="K124" s="40" t="s">
        <v>71</v>
      </c>
      <c r="L124" s="40" t="s">
        <v>717</v>
      </c>
    </row>
    <row r="125" spans="1:12" ht="24" x14ac:dyDescent="0.25">
      <c r="A125" s="83">
        <v>122</v>
      </c>
      <c r="B125" s="146" t="s">
        <v>578</v>
      </c>
      <c r="C125" s="40" t="s">
        <v>695</v>
      </c>
      <c r="D125" s="123">
        <v>1</v>
      </c>
      <c r="E125" s="148" t="s">
        <v>696</v>
      </c>
      <c r="F125" s="125">
        <f>15000*3.5%+15000</f>
        <v>15525</v>
      </c>
      <c r="G125" s="87">
        <f t="shared" si="1"/>
        <v>15525</v>
      </c>
      <c r="H125" s="83" t="s">
        <v>715</v>
      </c>
      <c r="I125" s="40" t="s">
        <v>716</v>
      </c>
      <c r="J125" s="129" t="s">
        <v>994</v>
      </c>
      <c r="K125" s="40" t="s">
        <v>71</v>
      </c>
      <c r="L125" s="40" t="s">
        <v>717</v>
      </c>
    </row>
    <row r="126" spans="1:12" ht="24" x14ac:dyDescent="0.25">
      <c r="A126" s="83">
        <v>123</v>
      </c>
      <c r="B126" s="146" t="s">
        <v>579</v>
      </c>
      <c r="C126" s="40" t="s">
        <v>695</v>
      </c>
      <c r="D126" s="123">
        <v>1</v>
      </c>
      <c r="E126" s="148" t="s">
        <v>696</v>
      </c>
      <c r="F126" s="149">
        <f>30000*3.5%+30000</f>
        <v>31050</v>
      </c>
      <c r="G126" s="87">
        <f t="shared" si="1"/>
        <v>31050</v>
      </c>
      <c r="H126" s="83" t="s">
        <v>715</v>
      </c>
      <c r="I126" s="40" t="s">
        <v>716</v>
      </c>
      <c r="J126" s="129" t="s">
        <v>994</v>
      </c>
      <c r="K126" s="40" t="s">
        <v>71</v>
      </c>
      <c r="L126" s="40" t="s">
        <v>717</v>
      </c>
    </row>
    <row r="127" spans="1:12" ht="24" x14ac:dyDescent="0.25">
      <c r="A127" s="83">
        <v>124</v>
      </c>
      <c r="B127" s="146" t="s">
        <v>580</v>
      </c>
      <c r="C127" s="40" t="s">
        <v>695</v>
      </c>
      <c r="D127" s="123">
        <v>1</v>
      </c>
      <c r="E127" s="148" t="s">
        <v>696</v>
      </c>
      <c r="F127" s="149">
        <f>10000*3.5%+10000</f>
        <v>10350</v>
      </c>
      <c r="G127" s="87">
        <f t="shared" si="1"/>
        <v>10350</v>
      </c>
      <c r="H127" s="83" t="s">
        <v>715</v>
      </c>
      <c r="I127" s="40" t="s">
        <v>716</v>
      </c>
      <c r="J127" s="129" t="s">
        <v>994</v>
      </c>
      <c r="K127" s="40" t="s">
        <v>71</v>
      </c>
      <c r="L127" s="40" t="s">
        <v>717</v>
      </c>
    </row>
    <row r="128" spans="1:12" ht="36" x14ac:dyDescent="0.25">
      <c r="A128" s="83">
        <v>125</v>
      </c>
      <c r="B128" s="146" t="s">
        <v>581</v>
      </c>
      <c r="C128" s="40" t="s">
        <v>695</v>
      </c>
      <c r="D128" s="123">
        <v>1</v>
      </c>
      <c r="E128" s="148" t="s">
        <v>696</v>
      </c>
      <c r="F128" s="149">
        <f>30000*3.5%+30000</f>
        <v>31050</v>
      </c>
      <c r="G128" s="87">
        <f t="shared" si="1"/>
        <v>31050</v>
      </c>
      <c r="H128" s="83" t="s">
        <v>715</v>
      </c>
      <c r="I128" s="40" t="s">
        <v>716</v>
      </c>
      <c r="J128" s="129" t="s">
        <v>994</v>
      </c>
      <c r="K128" s="40" t="s">
        <v>71</v>
      </c>
      <c r="L128" s="40" t="s">
        <v>717</v>
      </c>
    </row>
    <row r="129" spans="1:12" ht="24" x14ac:dyDescent="0.25">
      <c r="A129" s="83">
        <v>126</v>
      </c>
      <c r="B129" s="118" t="s">
        <v>582</v>
      </c>
      <c r="C129" s="40" t="s">
        <v>695</v>
      </c>
      <c r="D129" s="123">
        <v>1</v>
      </c>
      <c r="E129" s="148" t="s">
        <v>696</v>
      </c>
      <c r="F129" s="149">
        <f>18000*3.5%+18000</f>
        <v>18630</v>
      </c>
      <c r="G129" s="87">
        <f t="shared" si="1"/>
        <v>18630</v>
      </c>
      <c r="H129" s="83" t="s">
        <v>715</v>
      </c>
      <c r="I129" s="40" t="s">
        <v>716</v>
      </c>
      <c r="J129" s="129" t="s">
        <v>994</v>
      </c>
      <c r="K129" s="40" t="s">
        <v>71</v>
      </c>
      <c r="L129" s="40" t="s">
        <v>717</v>
      </c>
    </row>
    <row r="130" spans="1:12" ht="24" x14ac:dyDescent="0.25">
      <c r="A130" s="83">
        <v>127</v>
      </c>
      <c r="B130" s="118" t="s">
        <v>583</v>
      </c>
      <c r="C130" s="40" t="s">
        <v>695</v>
      </c>
      <c r="D130" s="123">
        <v>1</v>
      </c>
      <c r="E130" s="148" t="s">
        <v>696</v>
      </c>
      <c r="F130" s="149">
        <f>10000*3.5%+10000</f>
        <v>10350</v>
      </c>
      <c r="G130" s="87">
        <f t="shared" si="1"/>
        <v>10350</v>
      </c>
      <c r="H130" s="83" t="s">
        <v>715</v>
      </c>
      <c r="I130" s="40" t="s">
        <v>716</v>
      </c>
      <c r="J130" s="129" t="s">
        <v>994</v>
      </c>
      <c r="K130" s="40" t="s">
        <v>71</v>
      </c>
      <c r="L130" s="40" t="s">
        <v>717</v>
      </c>
    </row>
    <row r="131" spans="1:12" ht="24" x14ac:dyDescent="0.25">
      <c r="A131" s="83">
        <v>128</v>
      </c>
      <c r="B131" s="118" t="s">
        <v>584</v>
      </c>
      <c r="C131" s="40" t="s">
        <v>695</v>
      </c>
      <c r="D131" s="123">
        <v>1</v>
      </c>
      <c r="E131" s="148" t="s">
        <v>696</v>
      </c>
      <c r="F131" s="153">
        <f>17000*3.5%+17000</f>
        <v>17595</v>
      </c>
      <c r="G131" s="87">
        <f t="shared" si="1"/>
        <v>17595</v>
      </c>
      <c r="H131" s="83" t="s">
        <v>715</v>
      </c>
      <c r="I131" s="40" t="s">
        <v>716</v>
      </c>
      <c r="J131" s="129" t="s">
        <v>994</v>
      </c>
      <c r="K131" s="40" t="s">
        <v>71</v>
      </c>
      <c r="L131" s="40" t="s">
        <v>717</v>
      </c>
    </row>
    <row r="132" spans="1:12" ht="24" x14ac:dyDescent="0.25">
      <c r="A132" s="83">
        <v>129</v>
      </c>
      <c r="B132" s="118" t="s">
        <v>585</v>
      </c>
      <c r="C132" s="40" t="s">
        <v>695</v>
      </c>
      <c r="D132" s="123">
        <v>1</v>
      </c>
      <c r="E132" s="148" t="s">
        <v>696</v>
      </c>
      <c r="F132" s="149">
        <f>88000*3.5%+88000</f>
        <v>91080</v>
      </c>
      <c r="G132" s="87">
        <f t="shared" si="1"/>
        <v>91080</v>
      </c>
      <c r="H132" s="83" t="s">
        <v>715</v>
      </c>
      <c r="I132" s="40" t="s">
        <v>716</v>
      </c>
      <c r="J132" s="129" t="s">
        <v>994</v>
      </c>
      <c r="K132" s="40" t="s">
        <v>71</v>
      </c>
      <c r="L132" s="40" t="s">
        <v>717</v>
      </c>
    </row>
    <row r="133" spans="1:12" ht="24" x14ac:dyDescent="0.25">
      <c r="A133" s="83">
        <v>130</v>
      </c>
      <c r="B133" s="118" t="s">
        <v>586</v>
      </c>
      <c r="C133" s="40" t="s">
        <v>695</v>
      </c>
      <c r="D133" s="123">
        <v>1</v>
      </c>
      <c r="E133" s="148" t="s">
        <v>696</v>
      </c>
      <c r="F133" s="153">
        <v>299000</v>
      </c>
      <c r="G133" s="87">
        <f t="shared" ref="G133:G196" si="3">D133*F133</f>
        <v>299000</v>
      </c>
      <c r="H133" s="83" t="s">
        <v>715</v>
      </c>
      <c r="I133" s="40" t="s">
        <v>716</v>
      </c>
      <c r="J133" s="129" t="s">
        <v>994</v>
      </c>
      <c r="K133" s="40" t="s">
        <v>71</v>
      </c>
      <c r="L133" s="40" t="s">
        <v>717</v>
      </c>
    </row>
    <row r="134" spans="1:12" ht="24" x14ac:dyDescent="0.25">
      <c r="A134" s="83">
        <v>131</v>
      </c>
      <c r="B134" s="118" t="s">
        <v>587</v>
      </c>
      <c r="C134" s="40" t="s">
        <v>695</v>
      </c>
      <c r="D134" s="123">
        <v>1</v>
      </c>
      <c r="E134" s="148" t="s">
        <v>696</v>
      </c>
      <c r="F134" s="149">
        <f>610000*3.5%+610000</f>
        <v>631350</v>
      </c>
      <c r="G134" s="87">
        <f t="shared" si="3"/>
        <v>631350</v>
      </c>
      <c r="H134" s="83" t="s">
        <v>715</v>
      </c>
      <c r="I134" s="40" t="s">
        <v>716</v>
      </c>
      <c r="J134" s="129" t="s">
        <v>994</v>
      </c>
      <c r="K134" s="40" t="s">
        <v>71</v>
      </c>
      <c r="L134" s="40" t="s">
        <v>717</v>
      </c>
    </row>
    <row r="135" spans="1:12" ht="24" x14ac:dyDescent="0.25">
      <c r="A135" s="83">
        <v>132</v>
      </c>
      <c r="B135" s="118" t="s">
        <v>588</v>
      </c>
      <c r="C135" s="40" t="s">
        <v>695</v>
      </c>
      <c r="D135" s="123">
        <v>1</v>
      </c>
      <c r="E135" s="148" t="s">
        <v>696</v>
      </c>
      <c r="F135" s="149">
        <f>10000*3.5%+10000</f>
        <v>10350</v>
      </c>
      <c r="G135" s="87">
        <f t="shared" si="3"/>
        <v>10350</v>
      </c>
      <c r="H135" s="83" t="s">
        <v>715</v>
      </c>
      <c r="I135" s="40" t="s">
        <v>716</v>
      </c>
      <c r="J135" s="129" t="s">
        <v>994</v>
      </c>
      <c r="K135" s="40" t="s">
        <v>71</v>
      </c>
      <c r="L135" s="40" t="s">
        <v>717</v>
      </c>
    </row>
    <row r="136" spans="1:12" ht="24" x14ac:dyDescent="0.25">
      <c r="A136" s="83">
        <v>133</v>
      </c>
      <c r="B136" s="118" t="s">
        <v>589</v>
      </c>
      <c r="C136" s="40" t="s">
        <v>695</v>
      </c>
      <c r="D136" s="123">
        <v>1</v>
      </c>
      <c r="E136" s="148" t="s">
        <v>696</v>
      </c>
      <c r="F136" s="149">
        <f>18000*3.5%+18000</f>
        <v>18630</v>
      </c>
      <c r="G136" s="87">
        <f t="shared" si="3"/>
        <v>18630</v>
      </c>
      <c r="H136" s="83" t="s">
        <v>715</v>
      </c>
      <c r="I136" s="40" t="s">
        <v>716</v>
      </c>
      <c r="J136" s="129" t="s">
        <v>994</v>
      </c>
      <c r="K136" s="40" t="s">
        <v>71</v>
      </c>
      <c r="L136" s="40" t="s">
        <v>717</v>
      </c>
    </row>
    <row r="137" spans="1:12" ht="24" x14ac:dyDescent="0.25">
      <c r="A137" s="83">
        <v>134</v>
      </c>
      <c r="B137" s="146" t="s">
        <v>590</v>
      </c>
      <c r="C137" s="40" t="s">
        <v>695</v>
      </c>
      <c r="D137" s="123">
        <v>1</v>
      </c>
      <c r="E137" s="148" t="s">
        <v>708</v>
      </c>
      <c r="F137" s="149">
        <f>19000*3.5%+19000</f>
        <v>19665</v>
      </c>
      <c r="G137" s="87">
        <f t="shared" si="3"/>
        <v>19665</v>
      </c>
      <c r="H137" s="83" t="s">
        <v>715</v>
      </c>
      <c r="I137" s="40" t="s">
        <v>716</v>
      </c>
      <c r="J137" s="129" t="s">
        <v>994</v>
      </c>
      <c r="K137" s="40" t="s">
        <v>71</v>
      </c>
      <c r="L137" s="40" t="s">
        <v>717</v>
      </c>
    </row>
    <row r="138" spans="1:12" ht="24" x14ac:dyDescent="0.25">
      <c r="A138" s="83">
        <v>135</v>
      </c>
      <c r="B138" s="146" t="s">
        <v>591</v>
      </c>
      <c r="C138" s="40" t="s">
        <v>695</v>
      </c>
      <c r="D138" s="123">
        <v>1</v>
      </c>
      <c r="E138" s="148" t="s">
        <v>708</v>
      </c>
      <c r="F138" s="149">
        <f>4500*3.5%+4500</f>
        <v>4657.5</v>
      </c>
      <c r="G138" s="87">
        <f t="shared" si="3"/>
        <v>4657.5</v>
      </c>
      <c r="H138" s="83" t="s">
        <v>715</v>
      </c>
      <c r="I138" s="40" t="s">
        <v>716</v>
      </c>
      <c r="J138" s="129" t="s">
        <v>994</v>
      </c>
      <c r="K138" s="40" t="s">
        <v>71</v>
      </c>
      <c r="L138" s="40" t="s">
        <v>717</v>
      </c>
    </row>
    <row r="139" spans="1:12" ht="24" x14ac:dyDescent="0.25">
      <c r="A139" s="83">
        <v>136</v>
      </c>
      <c r="B139" s="146" t="s">
        <v>592</v>
      </c>
      <c r="C139" s="40" t="s">
        <v>695</v>
      </c>
      <c r="D139" s="123">
        <v>1</v>
      </c>
      <c r="E139" s="148" t="s">
        <v>708</v>
      </c>
      <c r="F139" s="149">
        <f>15000*3.5%+15000</f>
        <v>15525</v>
      </c>
      <c r="G139" s="87">
        <f t="shared" si="3"/>
        <v>15525</v>
      </c>
      <c r="H139" s="83" t="s">
        <v>715</v>
      </c>
      <c r="I139" s="40" t="s">
        <v>716</v>
      </c>
      <c r="J139" s="129" t="s">
        <v>994</v>
      </c>
      <c r="K139" s="40" t="s">
        <v>71</v>
      </c>
      <c r="L139" s="40" t="s">
        <v>717</v>
      </c>
    </row>
    <row r="140" spans="1:12" ht="24" x14ac:dyDescent="0.25">
      <c r="A140" s="83">
        <v>137</v>
      </c>
      <c r="B140" s="146" t="s">
        <v>593</v>
      </c>
      <c r="C140" s="40" t="s">
        <v>695</v>
      </c>
      <c r="D140" s="123">
        <v>1</v>
      </c>
      <c r="E140" s="148" t="s">
        <v>709</v>
      </c>
      <c r="F140" s="149">
        <f>25000*3.5%+25000</f>
        <v>25875</v>
      </c>
      <c r="G140" s="87">
        <f t="shared" si="3"/>
        <v>25875</v>
      </c>
      <c r="H140" s="83" t="s">
        <v>715</v>
      </c>
      <c r="I140" s="40" t="s">
        <v>716</v>
      </c>
      <c r="J140" s="129" t="s">
        <v>994</v>
      </c>
      <c r="K140" s="40" t="s">
        <v>71</v>
      </c>
      <c r="L140" s="40" t="s">
        <v>717</v>
      </c>
    </row>
    <row r="141" spans="1:12" ht="24" x14ac:dyDescent="0.25">
      <c r="A141" s="83">
        <v>138</v>
      </c>
      <c r="B141" s="146" t="s">
        <v>594</v>
      </c>
      <c r="C141" s="40" t="s">
        <v>695</v>
      </c>
      <c r="D141" s="123">
        <v>1</v>
      </c>
      <c r="E141" s="148" t="s">
        <v>709</v>
      </c>
      <c r="F141" s="149">
        <f>7000*3.5%+7000</f>
        <v>7245</v>
      </c>
      <c r="G141" s="87">
        <f t="shared" si="3"/>
        <v>7245</v>
      </c>
      <c r="H141" s="83" t="s">
        <v>715</v>
      </c>
      <c r="I141" s="40" t="s">
        <v>716</v>
      </c>
      <c r="J141" s="129" t="s">
        <v>994</v>
      </c>
      <c r="K141" s="40" t="s">
        <v>71</v>
      </c>
      <c r="L141" s="40" t="s">
        <v>717</v>
      </c>
    </row>
    <row r="142" spans="1:12" ht="24" x14ac:dyDescent="0.25">
      <c r="A142" s="83">
        <v>139</v>
      </c>
      <c r="B142" s="146" t="s">
        <v>595</v>
      </c>
      <c r="C142" s="40" t="s">
        <v>695</v>
      </c>
      <c r="D142" s="123">
        <v>1</v>
      </c>
      <c r="E142" s="148" t="s">
        <v>696</v>
      </c>
      <c r="F142" s="149">
        <f>3000*3.5%+3000</f>
        <v>3105</v>
      </c>
      <c r="G142" s="87">
        <f t="shared" si="3"/>
        <v>3105</v>
      </c>
      <c r="H142" s="83" t="s">
        <v>715</v>
      </c>
      <c r="I142" s="40" t="s">
        <v>716</v>
      </c>
      <c r="J142" s="129" t="s">
        <v>994</v>
      </c>
      <c r="K142" s="40" t="s">
        <v>71</v>
      </c>
      <c r="L142" s="40" t="s">
        <v>717</v>
      </c>
    </row>
    <row r="143" spans="1:12" ht="24" x14ac:dyDescent="0.25">
      <c r="A143" s="83">
        <v>140</v>
      </c>
      <c r="B143" s="118" t="s">
        <v>596</v>
      </c>
      <c r="C143" s="40" t="s">
        <v>695</v>
      </c>
      <c r="D143" s="123">
        <v>1</v>
      </c>
      <c r="E143" s="148" t="s">
        <v>696</v>
      </c>
      <c r="F143" s="149">
        <f>3000*3.5%+3000</f>
        <v>3105</v>
      </c>
      <c r="G143" s="87">
        <f t="shared" si="3"/>
        <v>3105</v>
      </c>
      <c r="H143" s="83" t="s">
        <v>715</v>
      </c>
      <c r="I143" s="40" t="s">
        <v>716</v>
      </c>
      <c r="J143" s="129" t="s">
        <v>994</v>
      </c>
      <c r="K143" s="40" t="s">
        <v>71</v>
      </c>
      <c r="L143" s="40" t="s">
        <v>717</v>
      </c>
    </row>
    <row r="144" spans="1:12" ht="24" x14ac:dyDescent="0.25">
      <c r="A144" s="83">
        <v>141</v>
      </c>
      <c r="B144" s="146" t="s">
        <v>597</v>
      </c>
      <c r="C144" s="40" t="s">
        <v>695</v>
      </c>
      <c r="D144" s="123">
        <v>1</v>
      </c>
      <c r="E144" s="148" t="s">
        <v>696</v>
      </c>
      <c r="F144" s="149">
        <f>8500*3.5%+8500</f>
        <v>8797.5</v>
      </c>
      <c r="G144" s="87">
        <f t="shared" si="3"/>
        <v>8797.5</v>
      </c>
      <c r="H144" s="83" t="s">
        <v>715</v>
      </c>
      <c r="I144" s="40" t="s">
        <v>716</v>
      </c>
      <c r="J144" s="129" t="s">
        <v>994</v>
      </c>
      <c r="K144" s="40" t="s">
        <v>71</v>
      </c>
      <c r="L144" s="40" t="s">
        <v>717</v>
      </c>
    </row>
    <row r="145" spans="1:12" ht="24" x14ac:dyDescent="0.25">
      <c r="A145" s="83">
        <v>142</v>
      </c>
      <c r="B145" s="146" t="s">
        <v>598</v>
      </c>
      <c r="C145" s="40" t="s">
        <v>695</v>
      </c>
      <c r="D145" s="123">
        <v>1</v>
      </c>
      <c r="E145" s="148" t="s">
        <v>699</v>
      </c>
      <c r="F145" s="149">
        <f>140000*3.5%+140000</f>
        <v>144900</v>
      </c>
      <c r="G145" s="87">
        <f t="shared" si="3"/>
        <v>144900</v>
      </c>
      <c r="H145" s="83" t="s">
        <v>715</v>
      </c>
      <c r="I145" s="40" t="s">
        <v>716</v>
      </c>
      <c r="J145" s="129" t="s">
        <v>994</v>
      </c>
      <c r="K145" s="40" t="s">
        <v>71</v>
      </c>
      <c r="L145" s="40" t="s">
        <v>717</v>
      </c>
    </row>
    <row r="146" spans="1:12" ht="24" x14ac:dyDescent="0.25">
      <c r="A146" s="83">
        <v>143</v>
      </c>
      <c r="B146" s="146" t="s">
        <v>599</v>
      </c>
      <c r="C146" s="40" t="s">
        <v>695</v>
      </c>
      <c r="D146" s="123">
        <v>1</v>
      </c>
      <c r="E146" s="148" t="s">
        <v>696</v>
      </c>
      <c r="F146" s="149">
        <f>12000*3.5%+12000</f>
        <v>12420</v>
      </c>
      <c r="G146" s="87">
        <f t="shared" si="3"/>
        <v>12420</v>
      </c>
      <c r="H146" s="83" t="s">
        <v>715</v>
      </c>
      <c r="I146" s="40" t="s">
        <v>716</v>
      </c>
      <c r="J146" s="129" t="s">
        <v>994</v>
      </c>
      <c r="K146" s="40" t="s">
        <v>71</v>
      </c>
      <c r="L146" s="40" t="s">
        <v>717</v>
      </c>
    </row>
    <row r="147" spans="1:12" ht="24" x14ac:dyDescent="0.25">
      <c r="A147" s="83">
        <v>144</v>
      </c>
      <c r="B147" s="146" t="s">
        <v>600</v>
      </c>
      <c r="C147" s="40" t="s">
        <v>695</v>
      </c>
      <c r="D147" s="123">
        <v>1</v>
      </c>
      <c r="E147" s="148" t="s">
        <v>696</v>
      </c>
      <c r="F147" s="149">
        <f>14000*3.5%+14000</f>
        <v>14490</v>
      </c>
      <c r="G147" s="87">
        <f t="shared" si="3"/>
        <v>14490</v>
      </c>
      <c r="H147" s="83" t="s">
        <v>715</v>
      </c>
      <c r="I147" s="40" t="s">
        <v>716</v>
      </c>
      <c r="J147" s="129" t="s">
        <v>994</v>
      </c>
      <c r="K147" s="40" t="s">
        <v>71</v>
      </c>
      <c r="L147" s="40" t="s">
        <v>717</v>
      </c>
    </row>
    <row r="148" spans="1:12" ht="24" x14ac:dyDescent="0.25">
      <c r="A148" s="83">
        <v>145</v>
      </c>
      <c r="B148" s="118" t="s">
        <v>601</v>
      </c>
      <c r="C148" s="40" t="s">
        <v>695</v>
      </c>
      <c r="D148" s="123">
        <v>1</v>
      </c>
      <c r="E148" s="148" t="s">
        <v>706</v>
      </c>
      <c r="F148" s="149">
        <f>50000*3.5%+50000</f>
        <v>51750</v>
      </c>
      <c r="G148" s="87">
        <f t="shared" si="3"/>
        <v>51750</v>
      </c>
      <c r="H148" s="83" t="s">
        <v>715</v>
      </c>
      <c r="I148" s="40" t="s">
        <v>716</v>
      </c>
      <c r="J148" s="129" t="s">
        <v>994</v>
      </c>
      <c r="K148" s="40" t="s">
        <v>71</v>
      </c>
      <c r="L148" s="40" t="s">
        <v>717</v>
      </c>
    </row>
    <row r="149" spans="1:12" ht="24" x14ac:dyDescent="0.25">
      <c r="A149" s="83">
        <v>146</v>
      </c>
      <c r="B149" s="118" t="s">
        <v>602</v>
      </c>
      <c r="C149" s="40" t="s">
        <v>695</v>
      </c>
      <c r="D149" s="123">
        <v>1</v>
      </c>
      <c r="E149" s="148" t="s">
        <v>696</v>
      </c>
      <c r="F149" s="149">
        <f>45000*3.5%+45000</f>
        <v>46575</v>
      </c>
      <c r="G149" s="87">
        <f t="shared" si="3"/>
        <v>46575</v>
      </c>
      <c r="H149" s="83" t="s">
        <v>715</v>
      </c>
      <c r="I149" s="40" t="s">
        <v>716</v>
      </c>
      <c r="J149" s="129" t="s">
        <v>994</v>
      </c>
      <c r="K149" s="40" t="s">
        <v>71</v>
      </c>
      <c r="L149" s="40" t="s">
        <v>717</v>
      </c>
    </row>
    <row r="150" spans="1:12" ht="36" x14ac:dyDescent="0.25">
      <c r="A150" s="83">
        <v>147</v>
      </c>
      <c r="B150" s="118" t="s">
        <v>603</v>
      </c>
      <c r="C150" s="40" t="s">
        <v>695</v>
      </c>
      <c r="D150" s="123">
        <v>1</v>
      </c>
      <c r="E150" s="148" t="s">
        <v>696</v>
      </c>
      <c r="F150" s="149">
        <f>39000*3.5%+39000</f>
        <v>40365</v>
      </c>
      <c r="G150" s="87">
        <f t="shared" si="3"/>
        <v>40365</v>
      </c>
      <c r="H150" s="83" t="s">
        <v>715</v>
      </c>
      <c r="I150" s="40" t="s">
        <v>716</v>
      </c>
      <c r="J150" s="129" t="s">
        <v>994</v>
      </c>
      <c r="K150" s="40" t="s">
        <v>71</v>
      </c>
      <c r="L150" s="40" t="s">
        <v>717</v>
      </c>
    </row>
    <row r="151" spans="1:12" ht="24" x14ac:dyDescent="0.25">
      <c r="A151" s="83">
        <v>148</v>
      </c>
      <c r="B151" s="118" t="s">
        <v>604</v>
      </c>
      <c r="C151" s="40" t="s">
        <v>695</v>
      </c>
      <c r="D151" s="123">
        <v>1</v>
      </c>
      <c r="E151" s="148" t="s">
        <v>696</v>
      </c>
      <c r="F151" s="149">
        <f>249000*3.5%+249000</f>
        <v>257715</v>
      </c>
      <c r="G151" s="87">
        <f t="shared" si="3"/>
        <v>257715</v>
      </c>
      <c r="H151" s="83" t="s">
        <v>715</v>
      </c>
      <c r="I151" s="40" t="s">
        <v>716</v>
      </c>
      <c r="J151" s="129" t="s">
        <v>994</v>
      </c>
      <c r="K151" s="40" t="s">
        <v>71</v>
      </c>
      <c r="L151" s="40" t="s">
        <v>717</v>
      </c>
    </row>
    <row r="152" spans="1:12" ht="24" x14ac:dyDescent="0.25">
      <c r="A152" s="83">
        <v>149</v>
      </c>
      <c r="B152" s="118" t="s">
        <v>605</v>
      </c>
      <c r="C152" s="40" t="s">
        <v>695</v>
      </c>
      <c r="D152" s="123">
        <v>1</v>
      </c>
      <c r="E152" s="123" t="s">
        <v>696</v>
      </c>
      <c r="F152" s="149">
        <f>25000*3.5%+25000</f>
        <v>25875</v>
      </c>
      <c r="G152" s="87">
        <f t="shared" si="3"/>
        <v>25875</v>
      </c>
      <c r="H152" s="83" t="s">
        <v>715</v>
      </c>
      <c r="I152" s="40" t="s">
        <v>716</v>
      </c>
      <c r="J152" s="129" t="s">
        <v>994</v>
      </c>
      <c r="K152" s="40" t="s">
        <v>71</v>
      </c>
      <c r="L152" s="40" t="s">
        <v>717</v>
      </c>
    </row>
    <row r="153" spans="1:12" ht="24" x14ac:dyDescent="0.25">
      <c r="A153" s="83">
        <v>150</v>
      </c>
      <c r="B153" s="118" t="s">
        <v>606</v>
      </c>
      <c r="C153" s="40" t="s">
        <v>695</v>
      </c>
      <c r="D153" s="123">
        <v>1</v>
      </c>
      <c r="E153" s="123" t="s">
        <v>696</v>
      </c>
      <c r="F153" s="149">
        <f>5000*3.5%+5000</f>
        <v>5175</v>
      </c>
      <c r="G153" s="87">
        <f t="shared" si="3"/>
        <v>5175</v>
      </c>
      <c r="H153" s="83" t="s">
        <v>715</v>
      </c>
      <c r="I153" s="40" t="s">
        <v>716</v>
      </c>
      <c r="J153" s="129" t="s">
        <v>994</v>
      </c>
      <c r="K153" s="40" t="s">
        <v>71</v>
      </c>
      <c r="L153" s="40" t="s">
        <v>717</v>
      </c>
    </row>
    <row r="154" spans="1:12" ht="24" x14ac:dyDescent="0.25">
      <c r="A154" s="83">
        <v>151</v>
      </c>
      <c r="B154" s="118" t="s">
        <v>607</v>
      </c>
      <c r="C154" s="40" t="s">
        <v>695</v>
      </c>
      <c r="D154" s="123">
        <v>1</v>
      </c>
      <c r="E154" s="148" t="s">
        <v>696</v>
      </c>
      <c r="F154" s="149">
        <f>6000*3.5%+6000</f>
        <v>6210</v>
      </c>
      <c r="G154" s="87">
        <f t="shared" si="3"/>
        <v>6210</v>
      </c>
      <c r="H154" s="83" t="s">
        <v>715</v>
      </c>
      <c r="I154" s="40" t="s">
        <v>716</v>
      </c>
      <c r="J154" s="129" t="s">
        <v>994</v>
      </c>
      <c r="K154" s="40" t="s">
        <v>71</v>
      </c>
      <c r="L154" s="40" t="s">
        <v>717</v>
      </c>
    </row>
    <row r="155" spans="1:12" ht="24" x14ac:dyDescent="0.25">
      <c r="A155" s="83">
        <v>152</v>
      </c>
      <c r="B155" s="118" t="s">
        <v>608</v>
      </c>
      <c r="C155" s="40" t="s">
        <v>695</v>
      </c>
      <c r="D155" s="123">
        <v>1</v>
      </c>
      <c r="E155" s="148" t="s">
        <v>696</v>
      </c>
      <c r="F155" s="149">
        <f>18000*3.5%+18000</f>
        <v>18630</v>
      </c>
      <c r="G155" s="87">
        <f t="shared" si="3"/>
        <v>18630</v>
      </c>
      <c r="H155" s="83" t="s">
        <v>715</v>
      </c>
      <c r="I155" s="40" t="s">
        <v>716</v>
      </c>
      <c r="J155" s="129" t="s">
        <v>994</v>
      </c>
      <c r="K155" s="40" t="s">
        <v>71</v>
      </c>
      <c r="L155" s="40" t="s">
        <v>717</v>
      </c>
    </row>
    <row r="156" spans="1:12" ht="24" x14ac:dyDescent="0.25">
      <c r="A156" s="83">
        <v>153</v>
      </c>
      <c r="B156" s="118" t="s">
        <v>609</v>
      </c>
      <c r="C156" s="40" t="s">
        <v>695</v>
      </c>
      <c r="D156" s="123">
        <v>1</v>
      </c>
      <c r="E156" s="148" t="s">
        <v>706</v>
      </c>
      <c r="F156" s="149">
        <f>22000*3.5%+22000</f>
        <v>22770</v>
      </c>
      <c r="G156" s="87">
        <f t="shared" si="3"/>
        <v>22770</v>
      </c>
      <c r="H156" s="83" t="s">
        <v>715</v>
      </c>
      <c r="I156" s="40" t="s">
        <v>716</v>
      </c>
      <c r="J156" s="129" t="s">
        <v>994</v>
      </c>
      <c r="K156" s="40" t="s">
        <v>71</v>
      </c>
      <c r="L156" s="40" t="s">
        <v>717</v>
      </c>
    </row>
    <row r="157" spans="1:12" ht="24" x14ac:dyDescent="0.25">
      <c r="A157" s="83">
        <v>154</v>
      </c>
      <c r="B157" s="118" t="s">
        <v>610</v>
      </c>
      <c r="C157" s="40" t="s">
        <v>695</v>
      </c>
      <c r="D157" s="123">
        <v>1</v>
      </c>
      <c r="E157" s="148" t="s">
        <v>696</v>
      </c>
      <c r="F157" s="149">
        <v>7000</v>
      </c>
      <c r="G157" s="87">
        <f t="shared" si="3"/>
        <v>7000</v>
      </c>
      <c r="H157" s="83" t="s">
        <v>715</v>
      </c>
      <c r="I157" s="40" t="s">
        <v>716</v>
      </c>
      <c r="J157" s="129" t="s">
        <v>994</v>
      </c>
      <c r="K157" s="40" t="s">
        <v>71</v>
      </c>
      <c r="L157" s="40" t="s">
        <v>717</v>
      </c>
    </row>
    <row r="158" spans="1:12" ht="24" x14ac:dyDescent="0.25">
      <c r="A158" s="83">
        <v>155</v>
      </c>
      <c r="B158" s="146" t="s">
        <v>611</v>
      </c>
      <c r="C158" s="40" t="s">
        <v>695</v>
      </c>
      <c r="D158" s="123">
        <v>1</v>
      </c>
      <c r="E158" s="148" t="s">
        <v>696</v>
      </c>
      <c r="F158" s="149">
        <f>25000*3.5%+25000</f>
        <v>25875</v>
      </c>
      <c r="G158" s="87">
        <f t="shared" si="3"/>
        <v>25875</v>
      </c>
      <c r="H158" s="83" t="s">
        <v>715</v>
      </c>
      <c r="I158" s="40" t="s">
        <v>716</v>
      </c>
      <c r="J158" s="129" t="s">
        <v>994</v>
      </c>
      <c r="K158" s="40" t="s">
        <v>71</v>
      </c>
      <c r="L158" s="40" t="s">
        <v>717</v>
      </c>
    </row>
    <row r="159" spans="1:12" ht="24" x14ac:dyDescent="0.25">
      <c r="A159" s="83">
        <v>156</v>
      </c>
      <c r="B159" s="146" t="s">
        <v>612</v>
      </c>
      <c r="C159" s="40" t="s">
        <v>695</v>
      </c>
      <c r="D159" s="123">
        <v>1</v>
      </c>
      <c r="E159" s="148" t="s">
        <v>706</v>
      </c>
      <c r="F159" s="149">
        <f>50000*3.5%+50000</f>
        <v>51750</v>
      </c>
      <c r="G159" s="87">
        <f t="shared" si="3"/>
        <v>51750</v>
      </c>
      <c r="H159" s="83" t="s">
        <v>715</v>
      </c>
      <c r="I159" s="40" t="s">
        <v>716</v>
      </c>
      <c r="J159" s="129" t="s">
        <v>994</v>
      </c>
      <c r="K159" s="40" t="s">
        <v>71</v>
      </c>
      <c r="L159" s="40" t="s">
        <v>717</v>
      </c>
    </row>
    <row r="160" spans="1:12" ht="36" x14ac:dyDescent="0.25">
      <c r="A160" s="83">
        <v>157</v>
      </c>
      <c r="B160" s="146" t="s">
        <v>613</v>
      </c>
      <c r="C160" s="40" t="s">
        <v>695</v>
      </c>
      <c r="D160" s="123">
        <v>1</v>
      </c>
      <c r="E160" s="148" t="s">
        <v>706</v>
      </c>
      <c r="F160" s="149">
        <f>35000*3.5%+35000</f>
        <v>36225</v>
      </c>
      <c r="G160" s="87">
        <f t="shared" si="3"/>
        <v>36225</v>
      </c>
      <c r="H160" s="83" t="s">
        <v>715</v>
      </c>
      <c r="I160" s="40" t="s">
        <v>716</v>
      </c>
      <c r="J160" s="129" t="s">
        <v>994</v>
      </c>
      <c r="K160" s="40" t="s">
        <v>71</v>
      </c>
      <c r="L160" s="40" t="s">
        <v>717</v>
      </c>
    </row>
    <row r="161" spans="1:12" ht="36" x14ac:dyDescent="0.25">
      <c r="A161" s="83">
        <v>158</v>
      </c>
      <c r="B161" s="146" t="s">
        <v>614</v>
      </c>
      <c r="C161" s="40" t="s">
        <v>695</v>
      </c>
      <c r="D161" s="123">
        <v>1</v>
      </c>
      <c r="E161" s="148" t="s">
        <v>706</v>
      </c>
      <c r="F161" s="149">
        <f>70000*3.5%+70000</f>
        <v>72450</v>
      </c>
      <c r="G161" s="87">
        <f t="shared" si="3"/>
        <v>72450</v>
      </c>
      <c r="H161" s="83" t="s">
        <v>715</v>
      </c>
      <c r="I161" s="40" t="s">
        <v>716</v>
      </c>
      <c r="J161" s="129" t="s">
        <v>994</v>
      </c>
      <c r="K161" s="40" t="s">
        <v>71</v>
      </c>
      <c r="L161" s="40" t="s">
        <v>717</v>
      </c>
    </row>
    <row r="162" spans="1:12" ht="24" x14ac:dyDescent="0.25">
      <c r="A162" s="83">
        <v>159</v>
      </c>
      <c r="B162" s="146" t="s">
        <v>615</v>
      </c>
      <c r="C162" s="40" t="s">
        <v>695</v>
      </c>
      <c r="D162" s="123">
        <v>1</v>
      </c>
      <c r="E162" s="148" t="s">
        <v>710</v>
      </c>
      <c r="F162" s="149">
        <f>59000*3.5%+59000</f>
        <v>61065</v>
      </c>
      <c r="G162" s="87">
        <f t="shared" si="3"/>
        <v>61065</v>
      </c>
      <c r="H162" s="83" t="s">
        <v>715</v>
      </c>
      <c r="I162" s="40" t="s">
        <v>716</v>
      </c>
      <c r="J162" s="129" t="s">
        <v>994</v>
      </c>
      <c r="K162" s="40" t="s">
        <v>71</v>
      </c>
      <c r="L162" s="40" t="s">
        <v>717</v>
      </c>
    </row>
    <row r="163" spans="1:12" ht="36" x14ac:dyDescent="0.25">
      <c r="A163" s="83">
        <v>160</v>
      </c>
      <c r="B163" s="146" t="s">
        <v>616</v>
      </c>
      <c r="C163" s="40" t="s">
        <v>695</v>
      </c>
      <c r="D163" s="123">
        <v>1</v>
      </c>
      <c r="E163" s="148" t="s">
        <v>700</v>
      </c>
      <c r="F163" s="149">
        <f>200000*3.5%+200000</f>
        <v>207000</v>
      </c>
      <c r="G163" s="87">
        <f t="shared" si="3"/>
        <v>207000</v>
      </c>
      <c r="H163" s="83" t="s">
        <v>715</v>
      </c>
      <c r="I163" s="40" t="s">
        <v>716</v>
      </c>
      <c r="J163" s="129" t="s">
        <v>994</v>
      </c>
      <c r="K163" s="40" t="s">
        <v>71</v>
      </c>
      <c r="L163" s="40" t="s">
        <v>717</v>
      </c>
    </row>
    <row r="164" spans="1:12" ht="24" x14ac:dyDescent="0.25">
      <c r="A164" s="83">
        <v>161</v>
      </c>
      <c r="B164" s="146" t="s">
        <v>617</v>
      </c>
      <c r="C164" s="40" t="s">
        <v>695</v>
      </c>
      <c r="D164" s="123">
        <v>1</v>
      </c>
      <c r="E164" s="148" t="s">
        <v>706</v>
      </c>
      <c r="F164" s="149">
        <f t="shared" ref="F164:F167" si="4">40000*3.5%+40000</f>
        <v>41400</v>
      </c>
      <c r="G164" s="87">
        <f t="shared" si="3"/>
        <v>41400</v>
      </c>
      <c r="H164" s="83" t="s">
        <v>715</v>
      </c>
      <c r="I164" s="40" t="s">
        <v>716</v>
      </c>
      <c r="J164" s="129" t="s">
        <v>994</v>
      </c>
      <c r="K164" s="40" t="s">
        <v>71</v>
      </c>
      <c r="L164" s="40" t="s">
        <v>717</v>
      </c>
    </row>
    <row r="165" spans="1:12" ht="36" x14ac:dyDescent="0.25">
      <c r="A165" s="83">
        <v>162</v>
      </c>
      <c r="B165" s="146" t="s">
        <v>618</v>
      </c>
      <c r="C165" s="40" t="s">
        <v>695</v>
      </c>
      <c r="D165" s="123">
        <v>1</v>
      </c>
      <c r="E165" s="148" t="s">
        <v>706</v>
      </c>
      <c r="F165" s="149">
        <f t="shared" si="4"/>
        <v>41400</v>
      </c>
      <c r="G165" s="87">
        <f t="shared" si="3"/>
        <v>41400</v>
      </c>
      <c r="H165" s="83" t="s">
        <v>715</v>
      </c>
      <c r="I165" s="40" t="s">
        <v>716</v>
      </c>
      <c r="J165" s="129" t="s">
        <v>994</v>
      </c>
      <c r="K165" s="40" t="s">
        <v>71</v>
      </c>
      <c r="L165" s="40" t="s">
        <v>717</v>
      </c>
    </row>
    <row r="166" spans="1:12" ht="36" x14ac:dyDescent="0.25">
      <c r="A166" s="83">
        <v>163</v>
      </c>
      <c r="B166" s="146" t="s">
        <v>619</v>
      </c>
      <c r="C166" s="40" t="s">
        <v>695</v>
      </c>
      <c r="D166" s="123">
        <v>1</v>
      </c>
      <c r="E166" s="148" t="s">
        <v>706</v>
      </c>
      <c r="F166" s="149">
        <f t="shared" si="4"/>
        <v>41400</v>
      </c>
      <c r="G166" s="87">
        <f t="shared" si="3"/>
        <v>41400</v>
      </c>
      <c r="H166" s="83" t="s">
        <v>715</v>
      </c>
      <c r="I166" s="40" t="s">
        <v>716</v>
      </c>
      <c r="J166" s="129" t="s">
        <v>994</v>
      </c>
      <c r="K166" s="40" t="s">
        <v>71</v>
      </c>
      <c r="L166" s="40" t="s">
        <v>717</v>
      </c>
    </row>
    <row r="167" spans="1:12" ht="24" x14ac:dyDescent="0.25">
      <c r="A167" s="83">
        <v>164</v>
      </c>
      <c r="B167" s="146" t="s">
        <v>620</v>
      </c>
      <c r="C167" s="40" t="s">
        <v>695</v>
      </c>
      <c r="D167" s="123">
        <v>1</v>
      </c>
      <c r="E167" s="148" t="s">
        <v>706</v>
      </c>
      <c r="F167" s="149">
        <f t="shared" si="4"/>
        <v>41400</v>
      </c>
      <c r="G167" s="87">
        <f t="shared" si="3"/>
        <v>41400</v>
      </c>
      <c r="H167" s="83" t="s">
        <v>715</v>
      </c>
      <c r="I167" s="40" t="s">
        <v>716</v>
      </c>
      <c r="J167" s="129" t="s">
        <v>994</v>
      </c>
      <c r="K167" s="40" t="s">
        <v>71</v>
      </c>
      <c r="L167" s="40" t="s">
        <v>717</v>
      </c>
    </row>
    <row r="168" spans="1:12" ht="36" x14ac:dyDescent="0.25">
      <c r="A168" s="83">
        <v>165</v>
      </c>
      <c r="B168" s="146" t="s">
        <v>621</v>
      </c>
      <c r="C168" s="40" t="s">
        <v>695</v>
      </c>
      <c r="D168" s="123">
        <v>1</v>
      </c>
      <c r="E168" s="148" t="s">
        <v>700</v>
      </c>
      <c r="F168" s="149">
        <f>195000*3.5%+195000</f>
        <v>201825</v>
      </c>
      <c r="G168" s="87">
        <f t="shared" si="3"/>
        <v>201825</v>
      </c>
      <c r="H168" s="83" t="s">
        <v>715</v>
      </c>
      <c r="I168" s="40" t="s">
        <v>716</v>
      </c>
      <c r="J168" s="129" t="s">
        <v>994</v>
      </c>
      <c r="K168" s="40" t="s">
        <v>71</v>
      </c>
      <c r="L168" s="40" t="s">
        <v>717</v>
      </c>
    </row>
    <row r="169" spans="1:12" ht="24" x14ac:dyDescent="0.25">
      <c r="A169" s="83">
        <v>166</v>
      </c>
      <c r="B169" s="146" t="s">
        <v>622</v>
      </c>
      <c r="C169" s="40" t="s">
        <v>695</v>
      </c>
      <c r="D169" s="123">
        <v>1</v>
      </c>
      <c r="E169" s="148" t="s">
        <v>706</v>
      </c>
      <c r="F169" s="149">
        <f>40000*3.5%+40000</f>
        <v>41400</v>
      </c>
      <c r="G169" s="87">
        <f t="shared" si="3"/>
        <v>41400</v>
      </c>
      <c r="H169" s="83" t="s">
        <v>715</v>
      </c>
      <c r="I169" s="40" t="s">
        <v>716</v>
      </c>
      <c r="J169" s="129" t="s">
        <v>994</v>
      </c>
      <c r="K169" s="40" t="s">
        <v>71</v>
      </c>
      <c r="L169" s="40" t="s">
        <v>717</v>
      </c>
    </row>
    <row r="170" spans="1:12" ht="36" x14ac:dyDescent="0.25">
      <c r="A170" s="83">
        <v>167</v>
      </c>
      <c r="B170" s="146" t="s">
        <v>623</v>
      </c>
      <c r="C170" s="40" t="s">
        <v>695</v>
      </c>
      <c r="D170" s="123">
        <v>1</v>
      </c>
      <c r="E170" s="148" t="s">
        <v>706</v>
      </c>
      <c r="F170" s="149">
        <f>70000*3.5%+70000</f>
        <v>72450</v>
      </c>
      <c r="G170" s="87">
        <f t="shared" si="3"/>
        <v>72450</v>
      </c>
      <c r="H170" s="83" t="s">
        <v>715</v>
      </c>
      <c r="I170" s="40" t="s">
        <v>716</v>
      </c>
      <c r="J170" s="129" t="s">
        <v>994</v>
      </c>
      <c r="K170" s="40" t="s">
        <v>71</v>
      </c>
      <c r="L170" s="40" t="s">
        <v>717</v>
      </c>
    </row>
    <row r="171" spans="1:12" ht="24" x14ac:dyDescent="0.25">
      <c r="A171" s="83">
        <v>168</v>
      </c>
      <c r="B171" s="146" t="s">
        <v>624</v>
      </c>
      <c r="C171" s="40" t="s">
        <v>695</v>
      </c>
      <c r="D171" s="123">
        <v>1</v>
      </c>
      <c r="E171" s="148" t="s">
        <v>706</v>
      </c>
      <c r="F171" s="149">
        <f>40000*3.5%+40000</f>
        <v>41400</v>
      </c>
      <c r="G171" s="87">
        <f t="shared" si="3"/>
        <v>41400</v>
      </c>
      <c r="H171" s="83" t="s">
        <v>715</v>
      </c>
      <c r="I171" s="40" t="s">
        <v>716</v>
      </c>
      <c r="J171" s="129" t="s">
        <v>994</v>
      </c>
      <c r="K171" s="40" t="s">
        <v>71</v>
      </c>
      <c r="L171" s="40" t="s">
        <v>717</v>
      </c>
    </row>
    <row r="172" spans="1:12" ht="36" x14ac:dyDescent="0.25">
      <c r="A172" s="83">
        <v>169</v>
      </c>
      <c r="B172" s="146" t="s">
        <v>625</v>
      </c>
      <c r="C172" s="40" t="s">
        <v>695</v>
      </c>
      <c r="D172" s="123">
        <v>1</v>
      </c>
      <c r="E172" s="148" t="s">
        <v>706</v>
      </c>
      <c r="F172" s="149">
        <f>70000*3.5%+70000</f>
        <v>72450</v>
      </c>
      <c r="G172" s="87">
        <f t="shared" si="3"/>
        <v>72450</v>
      </c>
      <c r="H172" s="83" t="s">
        <v>715</v>
      </c>
      <c r="I172" s="40" t="s">
        <v>716</v>
      </c>
      <c r="J172" s="129" t="s">
        <v>994</v>
      </c>
      <c r="K172" s="40" t="s">
        <v>71</v>
      </c>
      <c r="L172" s="40" t="s">
        <v>717</v>
      </c>
    </row>
    <row r="173" spans="1:12" ht="24" x14ac:dyDescent="0.25">
      <c r="A173" s="83">
        <v>170</v>
      </c>
      <c r="B173" s="146" t="s">
        <v>626</v>
      </c>
      <c r="C173" s="40" t="s">
        <v>695</v>
      </c>
      <c r="D173" s="123">
        <v>1</v>
      </c>
      <c r="E173" s="148" t="s">
        <v>696</v>
      </c>
      <c r="F173" s="149">
        <f>25000*3.5%+25000</f>
        <v>25875</v>
      </c>
      <c r="G173" s="87">
        <f t="shared" si="3"/>
        <v>25875</v>
      </c>
      <c r="H173" s="83" t="s">
        <v>715</v>
      </c>
      <c r="I173" s="40" t="s">
        <v>716</v>
      </c>
      <c r="J173" s="129" t="s">
        <v>994</v>
      </c>
      <c r="K173" s="40" t="s">
        <v>71</v>
      </c>
      <c r="L173" s="40" t="s">
        <v>717</v>
      </c>
    </row>
    <row r="174" spans="1:12" ht="24" x14ac:dyDescent="0.25">
      <c r="A174" s="83">
        <v>171</v>
      </c>
      <c r="B174" s="146" t="s">
        <v>627</v>
      </c>
      <c r="C174" s="40" t="s">
        <v>695</v>
      </c>
      <c r="D174" s="123">
        <v>1</v>
      </c>
      <c r="E174" s="148" t="s">
        <v>696</v>
      </c>
      <c r="F174" s="125">
        <f>15000*3.5%+15000</f>
        <v>15525</v>
      </c>
      <c r="G174" s="87">
        <f t="shared" si="3"/>
        <v>15525</v>
      </c>
      <c r="H174" s="83" t="s">
        <v>715</v>
      </c>
      <c r="I174" s="40" t="s">
        <v>716</v>
      </c>
      <c r="J174" s="129" t="s">
        <v>994</v>
      </c>
      <c r="K174" s="40" t="s">
        <v>71</v>
      </c>
      <c r="L174" s="40" t="s">
        <v>717</v>
      </c>
    </row>
    <row r="175" spans="1:12" ht="24" x14ac:dyDescent="0.25">
      <c r="A175" s="83">
        <v>172</v>
      </c>
      <c r="B175" s="146" t="s">
        <v>628</v>
      </c>
      <c r="C175" s="40" t="s">
        <v>695</v>
      </c>
      <c r="D175" s="123">
        <v>1</v>
      </c>
      <c r="E175" s="148"/>
      <c r="F175" s="149">
        <f>35000*3.5%+35000</f>
        <v>36225</v>
      </c>
      <c r="G175" s="87">
        <f t="shared" si="3"/>
        <v>36225</v>
      </c>
      <c r="H175" s="83" t="s">
        <v>715</v>
      </c>
      <c r="I175" s="40" t="s">
        <v>716</v>
      </c>
      <c r="J175" s="129" t="s">
        <v>994</v>
      </c>
      <c r="K175" s="40" t="s">
        <v>71</v>
      </c>
      <c r="L175" s="40" t="s">
        <v>717</v>
      </c>
    </row>
    <row r="176" spans="1:12" ht="24" x14ac:dyDescent="0.25">
      <c r="A176" s="83">
        <v>173</v>
      </c>
      <c r="B176" s="146" t="s">
        <v>629</v>
      </c>
      <c r="C176" s="40" t="s">
        <v>695</v>
      </c>
      <c r="D176" s="123">
        <v>1</v>
      </c>
      <c r="E176" s="148" t="s">
        <v>696</v>
      </c>
      <c r="F176" s="149">
        <f>35000*3.5%+35000</f>
        <v>36225</v>
      </c>
      <c r="G176" s="87">
        <f t="shared" si="3"/>
        <v>36225</v>
      </c>
      <c r="H176" s="83" t="s">
        <v>715</v>
      </c>
      <c r="I176" s="40" t="s">
        <v>716</v>
      </c>
      <c r="J176" s="129" t="s">
        <v>994</v>
      </c>
      <c r="K176" s="40" t="s">
        <v>71</v>
      </c>
      <c r="L176" s="40" t="s">
        <v>717</v>
      </c>
    </row>
    <row r="177" spans="1:12" ht="24" x14ac:dyDescent="0.25">
      <c r="A177" s="83">
        <v>174</v>
      </c>
      <c r="B177" s="146" t="s">
        <v>630</v>
      </c>
      <c r="C177" s="40" t="s">
        <v>695</v>
      </c>
      <c r="D177" s="123">
        <v>1</v>
      </c>
      <c r="E177" s="148" t="s">
        <v>696</v>
      </c>
      <c r="F177" s="125">
        <f>15000*3.5%+15000</f>
        <v>15525</v>
      </c>
      <c r="G177" s="87">
        <f t="shared" si="3"/>
        <v>15525</v>
      </c>
      <c r="H177" s="83" t="s">
        <v>715</v>
      </c>
      <c r="I177" s="40" t="s">
        <v>716</v>
      </c>
      <c r="J177" s="129" t="s">
        <v>994</v>
      </c>
      <c r="K177" s="40" t="s">
        <v>71</v>
      </c>
      <c r="L177" s="40" t="s">
        <v>717</v>
      </c>
    </row>
    <row r="178" spans="1:12" ht="24" x14ac:dyDescent="0.25">
      <c r="A178" s="83">
        <v>175</v>
      </c>
      <c r="B178" s="146" t="s">
        <v>631</v>
      </c>
      <c r="C178" s="40" t="s">
        <v>695</v>
      </c>
      <c r="D178" s="123">
        <v>1</v>
      </c>
      <c r="E178" s="148" t="s">
        <v>696</v>
      </c>
      <c r="F178" s="149">
        <f>65000*3.5%+65000</f>
        <v>67275</v>
      </c>
      <c r="G178" s="87">
        <f t="shared" si="3"/>
        <v>67275</v>
      </c>
      <c r="H178" s="83" t="s">
        <v>715</v>
      </c>
      <c r="I178" s="40" t="s">
        <v>716</v>
      </c>
      <c r="J178" s="129" t="s">
        <v>994</v>
      </c>
      <c r="K178" s="40" t="s">
        <v>71</v>
      </c>
      <c r="L178" s="40" t="s">
        <v>717</v>
      </c>
    </row>
    <row r="179" spans="1:12" ht="24" x14ac:dyDescent="0.25">
      <c r="A179" s="83">
        <v>176</v>
      </c>
      <c r="B179" s="146" t="s">
        <v>632</v>
      </c>
      <c r="C179" s="40" t="s">
        <v>695</v>
      </c>
      <c r="D179" s="123">
        <v>1</v>
      </c>
      <c r="E179" s="148" t="s">
        <v>696</v>
      </c>
      <c r="F179" s="149">
        <f>85000*3.5%+85000</f>
        <v>87975</v>
      </c>
      <c r="G179" s="87">
        <f t="shared" si="3"/>
        <v>87975</v>
      </c>
      <c r="H179" s="83" t="s">
        <v>715</v>
      </c>
      <c r="I179" s="40" t="s">
        <v>716</v>
      </c>
      <c r="J179" s="129" t="s">
        <v>994</v>
      </c>
      <c r="K179" s="40" t="s">
        <v>71</v>
      </c>
      <c r="L179" s="40" t="s">
        <v>717</v>
      </c>
    </row>
    <row r="180" spans="1:12" ht="24" x14ac:dyDescent="0.25">
      <c r="A180" s="83">
        <v>177</v>
      </c>
      <c r="B180" s="146" t="s">
        <v>633</v>
      </c>
      <c r="C180" s="40" t="s">
        <v>695</v>
      </c>
      <c r="D180" s="123">
        <v>1</v>
      </c>
      <c r="E180" s="148" t="s">
        <v>696</v>
      </c>
      <c r="F180" s="149">
        <f>250000*3.5%+250000</f>
        <v>258750</v>
      </c>
      <c r="G180" s="87">
        <f t="shared" si="3"/>
        <v>258750</v>
      </c>
      <c r="H180" s="83" t="s">
        <v>715</v>
      </c>
      <c r="I180" s="40" t="s">
        <v>716</v>
      </c>
      <c r="J180" s="129" t="s">
        <v>994</v>
      </c>
      <c r="K180" s="40" t="s">
        <v>71</v>
      </c>
      <c r="L180" s="40" t="s">
        <v>717</v>
      </c>
    </row>
    <row r="181" spans="1:12" ht="24" x14ac:dyDescent="0.25">
      <c r="A181" s="83">
        <v>178</v>
      </c>
      <c r="B181" s="146" t="s">
        <v>634</v>
      </c>
      <c r="C181" s="40" t="s">
        <v>695</v>
      </c>
      <c r="D181" s="123">
        <v>1</v>
      </c>
      <c r="E181" s="148" t="s">
        <v>711</v>
      </c>
      <c r="F181" s="149">
        <f>2400*3.5%+2400</f>
        <v>2484</v>
      </c>
      <c r="G181" s="87">
        <f t="shared" si="3"/>
        <v>2484</v>
      </c>
      <c r="H181" s="83" t="s">
        <v>715</v>
      </c>
      <c r="I181" s="40" t="s">
        <v>716</v>
      </c>
      <c r="J181" s="129" t="s">
        <v>994</v>
      </c>
      <c r="K181" s="40" t="s">
        <v>71</v>
      </c>
      <c r="L181" s="40" t="s">
        <v>717</v>
      </c>
    </row>
    <row r="182" spans="1:12" ht="24" x14ac:dyDescent="0.25">
      <c r="A182" s="83">
        <v>179</v>
      </c>
      <c r="B182" s="146" t="s">
        <v>635</v>
      </c>
      <c r="C182" s="40" t="s">
        <v>695</v>
      </c>
      <c r="D182" s="123">
        <v>1</v>
      </c>
      <c r="E182" s="148" t="s">
        <v>711</v>
      </c>
      <c r="F182" s="149">
        <f>3500*3.5%+3500</f>
        <v>3622.5</v>
      </c>
      <c r="G182" s="87">
        <f t="shared" si="3"/>
        <v>3622.5</v>
      </c>
      <c r="H182" s="83" t="s">
        <v>715</v>
      </c>
      <c r="I182" s="40" t="s">
        <v>716</v>
      </c>
      <c r="J182" s="129" t="s">
        <v>994</v>
      </c>
      <c r="K182" s="40" t="s">
        <v>71</v>
      </c>
      <c r="L182" s="40" t="s">
        <v>717</v>
      </c>
    </row>
    <row r="183" spans="1:12" ht="24" x14ac:dyDescent="0.25">
      <c r="A183" s="83">
        <v>180</v>
      </c>
      <c r="B183" s="146" t="s">
        <v>636</v>
      </c>
      <c r="C183" s="40" t="s">
        <v>695</v>
      </c>
      <c r="D183" s="123">
        <v>1</v>
      </c>
      <c r="E183" s="148" t="s">
        <v>711</v>
      </c>
      <c r="F183" s="149">
        <f t="shared" ref="F183:F184" si="5">2400*3.5%+2400</f>
        <v>2484</v>
      </c>
      <c r="G183" s="87">
        <f t="shared" si="3"/>
        <v>2484</v>
      </c>
      <c r="H183" s="83" t="s">
        <v>715</v>
      </c>
      <c r="I183" s="40" t="s">
        <v>716</v>
      </c>
      <c r="J183" s="129" t="s">
        <v>994</v>
      </c>
      <c r="K183" s="40" t="s">
        <v>71</v>
      </c>
      <c r="L183" s="40" t="s">
        <v>717</v>
      </c>
    </row>
    <row r="184" spans="1:12" ht="24" x14ac:dyDescent="0.25">
      <c r="A184" s="83">
        <v>181</v>
      </c>
      <c r="B184" s="118" t="s">
        <v>637</v>
      </c>
      <c r="C184" s="40" t="s">
        <v>695</v>
      </c>
      <c r="D184" s="123">
        <v>1</v>
      </c>
      <c r="E184" s="148" t="s">
        <v>711</v>
      </c>
      <c r="F184" s="149">
        <f t="shared" si="5"/>
        <v>2484</v>
      </c>
      <c r="G184" s="87">
        <f t="shared" si="3"/>
        <v>2484</v>
      </c>
      <c r="H184" s="83" t="s">
        <v>715</v>
      </c>
      <c r="I184" s="40" t="s">
        <v>716</v>
      </c>
      <c r="J184" s="129" t="s">
        <v>994</v>
      </c>
      <c r="K184" s="40" t="s">
        <v>71</v>
      </c>
      <c r="L184" s="40" t="s">
        <v>717</v>
      </c>
    </row>
    <row r="185" spans="1:12" ht="24" x14ac:dyDescent="0.25">
      <c r="A185" s="83">
        <v>182</v>
      </c>
      <c r="B185" s="118" t="s">
        <v>638</v>
      </c>
      <c r="C185" s="40" t="s">
        <v>695</v>
      </c>
      <c r="D185" s="123">
        <v>1</v>
      </c>
      <c r="E185" s="148" t="s">
        <v>696</v>
      </c>
      <c r="F185" s="149">
        <f>35000*3.5%+35000</f>
        <v>36225</v>
      </c>
      <c r="G185" s="87">
        <f t="shared" si="3"/>
        <v>36225</v>
      </c>
      <c r="H185" s="83" t="s">
        <v>715</v>
      </c>
      <c r="I185" s="40" t="s">
        <v>716</v>
      </c>
      <c r="J185" s="129" t="s">
        <v>994</v>
      </c>
      <c r="K185" s="40" t="s">
        <v>71</v>
      </c>
      <c r="L185" s="40" t="s">
        <v>717</v>
      </c>
    </row>
    <row r="186" spans="1:12" ht="24" x14ac:dyDescent="0.25">
      <c r="A186" s="83">
        <v>183</v>
      </c>
      <c r="B186" s="118" t="s">
        <v>639</v>
      </c>
      <c r="C186" s="40" t="s">
        <v>695</v>
      </c>
      <c r="D186" s="123">
        <v>1</v>
      </c>
      <c r="E186" s="148" t="s">
        <v>696</v>
      </c>
      <c r="F186" s="149">
        <f>65000*3.5%+65000</f>
        <v>67275</v>
      </c>
      <c r="G186" s="87">
        <f t="shared" si="3"/>
        <v>67275</v>
      </c>
      <c r="H186" s="83" t="s">
        <v>715</v>
      </c>
      <c r="I186" s="40" t="s">
        <v>716</v>
      </c>
      <c r="J186" s="129" t="s">
        <v>994</v>
      </c>
      <c r="K186" s="40" t="s">
        <v>71</v>
      </c>
      <c r="L186" s="40" t="s">
        <v>717</v>
      </c>
    </row>
    <row r="187" spans="1:12" ht="24" x14ac:dyDescent="0.25">
      <c r="A187" s="83">
        <v>184</v>
      </c>
      <c r="B187" s="118" t="s">
        <v>640</v>
      </c>
      <c r="C187" s="40" t="s">
        <v>695</v>
      </c>
      <c r="D187" s="123">
        <v>1</v>
      </c>
      <c r="E187" s="148" t="s">
        <v>696</v>
      </c>
      <c r="F187" s="149">
        <f>170000*3.5%+170000</f>
        <v>175950</v>
      </c>
      <c r="G187" s="87">
        <f t="shared" si="3"/>
        <v>175950</v>
      </c>
      <c r="H187" s="83" t="s">
        <v>715</v>
      </c>
      <c r="I187" s="40" t="s">
        <v>716</v>
      </c>
      <c r="J187" s="129" t="s">
        <v>994</v>
      </c>
      <c r="K187" s="40" t="s">
        <v>71</v>
      </c>
      <c r="L187" s="40" t="s">
        <v>717</v>
      </c>
    </row>
    <row r="188" spans="1:12" ht="24" x14ac:dyDescent="0.25">
      <c r="A188" s="83">
        <v>185</v>
      </c>
      <c r="B188" s="118" t="s">
        <v>641</v>
      </c>
      <c r="C188" s="40" t="s">
        <v>695</v>
      </c>
      <c r="D188" s="123">
        <v>1</v>
      </c>
      <c r="E188" s="148" t="s">
        <v>696</v>
      </c>
      <c r="F188" s="125">
        <f>250000*3.5%+250000</f>
        <v>258750</v>
      </c>
      <c r="G188" s="87">
        <f t="shared" si="3"/>
        <v>258750</v>
      </c>
      <c r="H188" s="83" t="s">
        <v>715</v>
      </c>
      <c r="I188" s="40" t="s">
        <v>716</v>
      </c>
      <c r="J188" s="129" t="s">
        <v>994</v>
      </c>
      <c r="K188" s="40" t="s">
        <v>71</v>
      </c>
      <c r="L188" s="40" t="s">
        <v>717</v>
      </c>
    </row>
    <row r="189" spans="1:12" ht="24" x14ac:dyDescent="0.25">
      <c r="A189" s="83">
        <v>186</v>
      </c>
      <c r="B189" s="118" t="s">
        <v>642</v>
      </c>
      <c r="C189" s="40" t="s">
        <v>695</v>
      </c>
      <c r="D189" s="123">
        <v>1</v>
      </c>
      <c r="E189" s="148" t="s">
        <v>696</v>
      </c>
      <c r="F189" s="149">
        <f>25000*3.5%+25000</f>
        <v>25875</v>
      </c>
      <c r="G189" s="87">
        <f t="shared" si="3"/>
        <v>25875</v>
      </c>
      <c r="H189" s="83" t="s">
        <v>715</v>
      </c>
      <c r="I189" s="40" t="s">
        <v>716</v>
      </c>
      <c r="J189" s="129" t="s">
        <v>994</v>
      </c>
      <c r="K189" s="40" t="s">
        <v>71</v>
      </c>
      <c r="L189" s="40" t="s">
        <v>717</v>
      </c>
    </row>
    <row r="190" spans="1:12" ht="36" x14ac:dyDescent="0.25">
      <c r="A190" s="83">
        <v>187</v>
      </c>
      <c r="B190" s="118" t="s">
        <v>643</v>
      </c>
      <c r="C190" s="40" t="s">
        <v>695</v>
      </c>
      <c r="D190" s="123">
        <v>1</v>
      </c>
      <c r="E190" s="148" t="s">
        <v>701</v>
      </c>
      <c r="F190" s="149">
        <f>14000*3.5%+14000</f>
        <v>14490</v>
      </c>
      <c r="G190" s="87">
        <f t="shared" si="3"/>
        <v>14490</v>
      </c>
      <c r="H190" s="83" t="s">
        <v>715</v>
      </c>
      <c r="I190" s="40" t="s">
        <v>716</v>
      </c>
      <c r="J190" s="129" t="s">
        <v>994</v>
      </c>
      <c r="K190" s="40" t="s">
        <v>71</v>
      </c>
      <c r="L190" s="40" t="s">
        <v>717</v>
      </c>
    </row>
    <row r="191" spans="1:12" ht="36" x14ac:dyDescent="0.25">
      <c r="A191" s="83">
        <v>188</v>
      </c>
      <c r="B191" s="118" t="s">
        <v>644</v>
      </c>
      <c r="C191" s="40" t="s">
        <v>695</v>
      </c>
      <c r="D191" s="123">
        <v>1</v>
      </c>
      <c r="E191" s="148" t="s">
        <v>27</v>
      </c>
      <c r="F191" s="149">
        <f>38000*3.5%+38000</f>
        <v>39330</v>
      </c>
      <c r="G191" s="87">
        <f t="shared" si="3"/>
        <v>39330</v>
      </c>
      <c r="H191" s="83" t="s">
        <v>715</v>
      </c>
      <c r="I191" s="40" t="s">
        <v>716</v>
      </c>
      <c r="J191" s="129" t="s">
        <v>994</v>
      </c>
      <c r="K191" s="40" t="s">
        <v>71</v>
      </c>
      <c r="L191" s="40" t="s">
        <v>717</v>
      </c>
    </row>
    <row r="192" spans="1:12" ht="24" x14ac:dyDescent="0.25">
      <c r="A192" s="83">
        <v>189</v>
      </c>
      <c r="B192" s="118" t="s">
        <v>645</v>
      </c>
      <c r="C192" s="40" t="s">
        <v>695</v>
      </c>
      <c r="D192" s="123">
        <v>1</v>
      </c>
      <c r="E192" s="148" t="s">
        <v>712</v>
      </c>
      <c r="F192" s="149">
        <f>6000*3.5%+6000</f>
        <v>6210</v>
      </c>
      <c r="G192" s="87">
        <f t="shared" si="3"/>
        <v>6210</v>
      </c>
      <c r="H192" s="83" t="s">
        <v>715</v>
      </c>
      <c r="I192" s="40" t="s">
        <v>716</v>
      </c>
      <c r="J192" s="129" t="s">
        <v>994</v>
      </c>
      <c r="K192" s="40" t="s">
        <v>71</v>
      </c>
      <c r="L192" s="40" t="s">
        <v>717</v>
      </c>
    </row>
    <row r="193" spans="1:12" ht="24" x14ac:dyDescent="0.25">
      <c r="A193" s="83">
        <v>190</v>
      </c>
      <c r="B193" s="118" t="s">
        <v>646</v>
      </c>
      <c r="C193" s="40" t="s">
        <v>695</v>
      </c>
      <c r="D193" s="123">
        <v>1</v>
      </c>
      <c r="E193" s="148" t="s">
        <v>696</v>
      </c>
      <c r="F193" s="149">
        <f>3000*3.5%+3000</f>
        <v>3105</v>
      </c>
      <c r="G193" s="87">
        <f t="shared" si="3"/>
        <v>3105</v>
      </c>
      <c r="H193" s="83" t="s">
        <v>715</v>
      </c>
      <c r="I193" s="40" t="s">
        <v>716</v>
      </c>
      <c r="J193" s="129" t="s">
        <v>994</v>
      </c>
      <c r="K193" s="40" t="s">
        <v>71</v>
      </c>
      <c r="L193" s="40" t="s">
        <v>717</v>
      </c>
    </row>
    <row r="194" spans="1:12" ht="24" x14ac:dyDescent="0.25">
      <c r="A194" s="83">
        <v>191</v>
      </c>
      <c r="B194" s="118" t="s">
        <v>647</v>
      </c>
      <c r="C194" s="40" t="s">
        <v>695</v>
      </c>
      <c r="D194" s="123">
        <v>1</v>
      </c>
      <c r="E194" s="148" t="s">
        <v>696</v>
      </c>
      <c r="F194" s="149">
        <f>5000*3.5%+5000</f>
        <v>5175</v>
      </c>
      <c r="G194" s="87">
        <f t="shared" si="3"/>
        <v>5175</v>
      </c>
      <c r="H194" s="83" t="s">
        <v>715</v>
      </c>
      <c r="I194" s="40" t="s">
        <v>716</v>
      </c>
      <c r="J194" s="129" t="s">
        <v>994</v>
      </c>
      <c r="K194" s="40" t="s">
        <v>71</v>
      </c>
      <c r="L194" s="40" t="s">
        <v>717</v>
      </c>
    </row>
    <row r="195" spans="1:12" ht="36" x14ac:dyDescent="0.25">
      <c r="A195" s="83">
        <v>192</v>
      </c>
      <c r="B195" s="118" t="s">
        <v>648</v>
      </c>
      <c r="C195" s="40" t="s">
        <v>695</v>
      </c>
      <c r="D195" s="123">
        <v>1</v>
      </c>
      <c r="E195" s="148" t="s">
        <v>696</v>
      </c>
      <c r="F195" s="149">
        <v>1500000</v>
      </c>
      <c r="G195" s="87">
        <f t="shared" si="3"/>
        <v>1500000</v>
      </c>
      <c r="H195" s="83" t="s">
        <v>715</v>
      </c>
      <c r="I195" s="40" t="s">
        <v>716</v>
      </c>
      <c r="J195" s="129" t="s">
        <v>994</v>
      </c>
      <c r="K195" s="40" t="s">
        <v>71</v>
      </c>
      <c r="L195" s="40" t="s">
        <v>717</v>
      </c>
    </row>
    <row r="196" spans="1:12" ht="24" x14ac:dyDescent="0.25">
      <c r="A196" s="83">
        <v>193</v>
      </c>
      <c r="B196" s="118" t="s">
        <v>649</v>
      </c>
      <c r="C196" s="40" t="s">
        <v>695</v>
      </c>
      <c r="D196" s="123">
        <v>1</v>
      </c>
      <c r="E196" s="148" t="s">
        <v>712</v>
      </c>
      <c r="F196" s="149">
        <f>3000*3.5%+3000</f>
        <v>3105</v>
      </c>
      <c r="G196" s="87">
        <f t="shared" si="3"/>
        <v>3105</v>
      </c>
      <c r="H196" s="83" t="s">
        <v>715</v>
      </c>
      <c r="I196" s="40" t="s">
        <v>716</v>
      </c>
      <c r="J196" s="129" t="s">
        <v>994</v>
      </c>
      <c r="K196" s="40" t="s">
        <v>71</v>
      </c>
      <c r="L196" s="40" t="s">
        <v>717</v>
      </c>
    </row>
    <row r="197" spans="1:12" ht="24" x14ac:dyDescent="0.25">
      <c r="A197" s="83">
        <v>194</v>
      </c>
      <c r="B197" s="118" t="s">
        <v>650</v>
      </c>
      <c r="C197" s="40" t="s">
        <v>695</v>
      </c>
      <c r="D197" s="123">
        <v>1</v>
      </c>
      <c r="E197" s="148" t="s">
        <v>706</v>
      </c>
      <c r="F197" s="149">
        <f>35000*3.5%+35000</f>
        <v>36225</v>
      </c>
      <c r="G197" s="87">
        <f t="shared" ref="G197:G245" si="6">D197*F197</f>
        <v>36225</v>
      </c>
      <c r="H197" s="83" t="s">
        <v>715</v>
      </c>
      <c r="I197" s="40" t="s">
        <v>716</v>
      </c>
      <c r="J197" s="129" t="s">
        <v>994</v>
      </c>
      <c r="K197" s="40" t="s">
        <v>71</v>
      </c>
      <c r="L197" s="40" t="s">
        <v>717</v>
      </c>
    </row>
    <row r="198" spans="1:12" ht="24" x14ac:dyDescent="0.25">
      <c r="A198" s="83">
        <v>195</v>
      </c>
      <c r="B198" s="118" t="s">
        <v>651</v>
      </c>
      <c r="C198" s="40" t="s">
        <v>695</v>
      </c>
      <c r="D198" s="123">
        <v>1</v>
      </c>
      <c r="E198" s="148" t="s">
        <v>696</v>
      </c>
      <c r="F198" s="149">
        <f>17000*3.5%+17000</f>
        <v>17595</v>
      </c>
      <c r="G198" s="87">
        <f t="shared" si="6"/>
        <v>17595</v>
      </c>
      <c r="H198" s="83" t="s">
        <v>715</v>
      </c>
      <c r="I198" s="40" t="s">
        <v>716</v>
      </c>
      <c r="J198" s="129" t="s">
        <v>994</v>
      </c>
      <c r="K198" s="40" t="s">
        <v>71</v>
      </c>
      <c r="L198" s="40" t="s">
        <v>717</v>
      </c>
    </row>
    <row r="199" spans="1:12" ht="36" x14ac:dyDescent="0.25">
      <c r="A199" s="83">
        <v>196</v>
      </c>
      <c r="B199" s="118" t="s">
        <v>652</v>
      </c>
      <c r="C199" s="40" t="s">
        <v>695</v>
      </c>
      <c r="D199" s="123">
        <v>1</v>
      </c>
      <c r="E199" s="148" t="s">
        <v>696</v>
      </c>
      <c r="F199" s="149">
        <f>350000*3.5%+350000</f>
        <v>362250</v>
      </c>
      <c r="G199" s="87">
        <f t="shared" si="6"/>
        <v>362250</v>
      </c>
      <c r="H199" s="83" t="s">
        <v>715</v>
      </c>
      <c r="I199" s="40" t="s">
        <v>716</v>
      </c>
      <c r="J199" s="129" t="s">
        <v>994</v>
      </c>
      <c r="K199" s="40" t="s">
        <v>71</v>
      </c>
      <c r="L199" s="40" t="s">
        <v>717</v>
      </c>
    </row>
    <row r="200" spans="1:12" ht="24" x14ac:dyDescent="0.25">
      <c r="A200" s="83">
        <v>197</v>
      </c>
      <c r="B200" s="118" t="s">
        <v>653</v>
      </c>
      <c r="C200" s="40" t="s">
        <v>695</v>
      </c>
      <c r="D200" s="123">
        <v>1</v>
      </c>
      <c r="E200" s="148" t="s">
        <v>696</v>
      </c>
      <c r="F200" s="149">
        <f>420000*3.5%+420000</f>
        <v>434700</v>
      </c>
      <c r="G200" s="87">
        <f t="shared" si="6"/>
        <v>434700</v>
      </c>
      <c r="H200" s="83" t="s">
        <v>715</v>
      </c>
      <c r="I200" s="40" t="s">
        <v>716</v>
      </c>
      <c r="J200" s="129" t="s">
        <v>994</v>
      </c>
      <c r="K200" s="40" t="s">
        <v>71</v>
      </c>
      <c r="L200" s="40" t="s">
        <v>717</v>
      </c>
    </row>
    <row r="201" spans="1:12" ht="24" x14ac:dyDescent="0.25">
      <c r="A201" s="83">
        <v>198</v>
      </c>
      <c r="B201" s="118" t="s">
        <v>654</v>
      </c>
      <c r="C201" s="40" t="s">
        <v>695</v>
      </c>
      <c r="D201" s="123">
        <v>1</v>
      </c>
      <c r="E201" s="148" t="s">
        <v>696</v>
      </c>
      <c r="F201" s="149">
        <f>395000*3.5%+395000</f>
        <v>408825</v>
      </c>
      <c r="G201" s="87">
        <f t="shared" si="6"/>
        <v>408825</v>
      </c>
      <c r="H201" s="83" t="s">
        <v>715</v>
      </c>
      <c r="I201" s="40" t="s">
        <v>716</v>
      </c>
      <c r="J201" s="129" t="s">
        <v>994</v>
      </c>
      <c r="K201" s="40" t="s">
        <v>71</v>
      </c>
      <c r="L201" s="40" t="s">
        <v>717</v>
      </c>
    </row>
    <row r="202" spans="1:12" ht="24" x14ac:dyDescent="0.25">
      <c r="A202" s="83">
        <v>199</v>
      </c>
      <c r="B202" s="118" t="s">
        <v>655</v>
      </c>
      <c r="C202" s="40" t="s">
        <v>695</v>
      </c>
      <c r="D202" s="123">
        <v>1</v>
      </c>
      <c r="E202" s="148" t="s">
        <v>707</v>
      </c>
      <c r="F202" s="149">
        <f>12000*3.5%+12000</f>
        <v>12420</v>
      </c>
      <c r="G202" s="87">
        <f t="shared" si="6"/>
        <v>12420</v>
      </c>
      <c r="H202" s="83" t="s">
        <v>715</v>
      </c>
      <c r="I202" s="40" t="s">
        <v>716</v>
      </c>
      <c r="J202" s="129" t="s">
        <v>994</v>
      </c>
      <c r="K202" s="40" t="s">
        <v>71</v>
      </c>
      <c r="L202" s="40" t="s">
        <v>717</v>
      </c>
    </row>
    <row r="203" spans="1:12" ht="24" x14ac:dyDescent="0.25">
      <c r="A203" s="83">
        <v>200</v>
      </c>
      <c r="B203" s="118" t="s">
        <v>656</v>
      </c>
      <c r="C203" s="40" t="s">
        <v>695</v>
      </c>
      <c r="D203" s="123">
        <v>1</v>
      </c>
      <c r="E203" s="148" t="s">
        <v>696</v>
      </c>
      <c r="F203" s="149">
        <f>9000*3.5%+9000</f>
        <v>9315</v>
      </c>
      <c r="G203" s="87">
        <f t="shared" si="6"/>
        <v>9315</v>
      </c>
      <c r="H203" s="83" t="s">
        <v>715</v>
      </c>
      <c r="I203" s="40" t="s">
        <v>716</v>
      </c>
      <c r="J203" s="129" t="s">
        <v>994</v>
      </c>
      <c r="K203" s="40" t="s">
        <v>71</v>
      </c>
      <c r="L203" s="40" t="s">
        <v>717</v>
      </c>
    </row>
    <row r="204" spans="1:12" ht="24" x14ac:dyDescent="0.25">
      <c r="A204" s="83">
        <v>201</v>
      </c>
      <c r="B204" s="118" t="s">
        <v>657</v>
      </c>
      <c r="C204" s="40" t="s">
        <v>695</v>
      </c>
      <c r="D204" s="123">
        <v>1</v>
      </c>
      <c r="E204" s="148" t="s">
        <v>696</v>
      </c>
      <c r="F204" s="149">
        <f>390000*3.5%+390000</f>
        <v>403650</v>
      </c>
      <c r="G204" s="87">
        <f t="shared" si="6"/>
        <v>403650</v>
      </c>
      <c r="H204" s="83" t="s">
        <v>715</v>
      </c>
      <c r="I204" s="40" t="s">
        <v>716</v>
      </c>
      <c r="J204" s="129" t="s">
        <v>994</v>
      </c>
      <c r="K204" s="40" t="s">
        <v>71</v>
      </c>
      <c r="L204" s="40" t="s">
        <v>717</v>
      </c>
    </row>
    <row r="205" spans="1:12" ht="24" x14ac:dyDescent="0.25">
      <c r="A205" s="83">
        <v>202</v>
      </c>
      <c r="B205" s="118" t="s">
        <v>658</v>
      </c>
      <c r="C205" s="40" t="s">
        <v>695</v>
      </c>
      <c r="D205" s="123">
        <v>1</v>
      </c>
      <c r="E205" s="148" t="s">
        <v>696</v>
      </c>
      <c r="F205" s="149">
        <f>420000*3.5%+420000</f>
        <v>434700</v>
      </c>
      <c r="G205" s="87">
        <f t="shared" si="6"/>
        <v>434700</v>
      </c>
      <c r="H205" s="83" t="s">
        <v>715</v>
      </c>
      <c r="I205" s="40" t="s">
        <v>716</v>
      </c>
      <c r="J205" s="129" t="s">
        <v>994</v>
      </c>
      <c r="K205" s="40" t="s">
        <v>71</v>
      </c>
      <c r="L205" s="40" t="s">
        <v>717</v>
      </c>
    </row>
    <row r="206" spans="1:12" ht="36" x14ac:dyDescent="0.25">
      <c r="A206" s="83">
        <v>203</v>
      </c>
      <c r="B206" s="118" t="s">
        <v>659</v>
      </c>
      <c r="C206" s="40" t="s">
        <v>695</v>
      </c>
      <c r="D206" s="123">
        <v>1</v>
      </c>
      <c r="E206" s="148" t="s">
        <v>696</v>
      </c>
      <c r="F206" s="149">
        <f>620000*3.5%+620000</f>
        <v>641700</v>
      </c>
      <c r="G206" s="87">
        <f t="shared" si="6"/>
        <v>641700</v>
      </c>
      <c r="H206" s="83" t="s">
        <v>715</v>
      </c>
      <c r="I206" s="40" t="s">
        <v>716</v>
      </c>
      <c r="J206" s="129" t="s">
        <v>994</v>
      </c>
      <c r="K206" s="40" t="s">
        <v>71</v>
      </c>
      <c r="L206" s="40" t="s">
        <v>717</v>
      </c>
    </row>
    <row r="207" spans="1:12" ht="24" x14ac:dyDescent="0.25">
      <c r="A207" s="83">
        <v>204</v>
      </c>
      <c r="B207" s="118" t="s">
        <v>660</v>
      </c>
      <c r="C207" s="40" t="s">
        <v>695</v>
      </c>
      <c r="D207" s="123">
        <v>1</v>
      </c>
      <c r="E207" s="148" t="s">
        <v>696</v>
      </c>
      <c r="F207" s="149">
        <f>740000*3.5%+740000</f>
        <v>765900</v>
      </c>
      <c r="G207" s="87">
        <f t="shared" si="6"/>
        <v>765900</v>
      </c>
      <c r="H207" s="83" t="s">
        <v>715</v>
      </c>
      <c r="I207" s="40" t="s">
        <v>716</v>
      </c>
      <c r="J207" s="129" t="s">
        <v>994</v>
      </c>
      <c r="K207" s="40" t="s">
        <v>71</v>
      </c>
      <c r="L207" s="40" t="s">
        <v>717</v>
      </c>
    </row>
    <row r="208" spans="1:12" ht="24" x14ac:dyDescent="0.25">
      <c r="A208" s="83">
        <v>205</v>
      </c>
      <c r="B208" s="118" t="s">
        <v>661</v>
      </c>
      <c r="C208" s="40" t="s">
        <v>695</v>
      </c>
      <c r="D208" s="123">
        <v>1</v>
      </c>
      <c r="E208" s="148" t="s">
        <v>696</v>
      </c>
      <c r="F208" s="149">
        <f>740000*3.5%+740000</f>
        <v>765900</v>
      </c>
      <c r="G208" s="87">
        <f t="shared" si="6"/>
        <v>765900</v>
      </c>
      <c r="H208" s="83" t="s">
        <v>715</v>
      </c>
      <c r="I208" s="40" t="s">
        <v>716</v>
      </c>
      <c r="J208" s="129" t="s">
        <v>994</v>
      </c>
      <c r="K208" s="40" t="s">
        <v>71</v>
      </c>
      <c r="L208" s="40" t="s">
        <v>717</v>
      </c>
    </row>
    <row r="209" spans="1:12" ht="24" x14ac:dyDescent="0.25">
      <c r="A209" s="83">
        <v>206</v>
      </c>
      <c r="B209" s="118" t="s">
        <v>662</v>
      </c>
      <c r="C209" s="40" t="s">
        <v>695</v>
      </c>
      <c r="D209" s="123">
        <v>1</v>
      </c>
      <c r="E209" s="148" t="s">
        <v>696</v>
      </c>
      <c r="F209" s="149">
        <f>420000*3.5%+420000</f>
        <v>434700</v>
      </c>
      <c r="G209" s="87">
        <f t="shared" si="6"/>
        <v>434700</v>
      </c>
      <c r="H209" s="83" t="s">
        <v>715</v>
      </c>
      <c r="I209" s="40" t="s">
        <v>716</v>
      </c>
      <c r="J209" s="129" t="s">
        <v>994</v>
      </c>
      <c r="K209" s="40" t="s">
        <v>71</v>
      </c>
      <c r="L209" s="40" t="s">
        <v>717</v>
      </c>
    </row>
    <row r="210" spans="1:12" ht="24" x14ac:dyDescent="0.25">
      <c r="A210" s="83">
        <v>207</v>
      </c>
      <c r="B210" s="118" t="s">
        <v>663</v>
      </c>
      <c r="C210" s="40" t="s">
        <v>695</v>
      </c>
      <c r="D210" s="123">
        <v>1</v>
      </c>
      <c r="E210" s="148" t="s">
        <v>696</v>
      </c>
      <c r="F210" s="149">
        <f>300000*3.5%+300000</f>
        <v>310500</v>
      </c>
      <c r="G210" s="87">
        <f t="shared" si="6"/>
        <v>310500</v>
      </c>
      <c r="H210" s="83" t="s">
        <v>715</v>
      </c>
      <c r="I210" s="40" t="s">
        <v>716</v>
      </c>
      <c r="J210" s="129" t="s">
        <v>994</v>
      </c>
      <c r="K210" s="40" t="s">
        <v>71</v>
      </c>
      <c r="L210" s="40" t="s">
        <v>717</v>
      </c>
    </row>
    <row r="211" spans="1:12" ht="36" x14ac:dyDescent="0.25">
      <c r="A211" s="83">
        <v>208</v>
      </c>
      <c r="B211" s="118" t="s">
        <v>664</v>
      </c>
      <c r="C211" s="40" t="s">
        <v>695</v>
      </c>
      <c r="D211" s="123">
        <v>1</v>
      </c>
      <c r="E211" s="148" t="s">
        <v>696</v>
      </c>
      <c r="F211" s="149">
        <f>300000*3.5%+300000</f>
        <v>310500</v>
      </c>
      <c r="G211" s="87">
        <f t="shared" si="6"/>
        <v>310500</v>
      </c>
      <c r="H211" s="83" t="s">
        <v>715</v>
      </c>
      <c r="I211" s="40" t="s">
        <v>716</v>
      </c>
      <c r="J211" s="129" t="s">
        <v>994</v>
      </c>
      <c r="K211" s="40" t="s">
        <v>71</v>
      </c>
      <c r="L211" s="40" t="s">
        <v>717</v>
      </c>
    </row>
    <row r="212" spans="1:12" ht="24" x14ac:dyDescent="0.25">
      <c r="A212" s="83">
        <v>209</v>
      </c>
      <c r="B212" s="118" t="s">
        <v>665</v>
      </c>
      <c r="C212" s="40" t="s">
        <v>695</v>
      </c>
      <c r="D212" s="123">
        <v>1</v>
      </c>
      <c r="E212" s="148" t="s">
        <v>696</v>
      </c>
      <c r="F212" s="149">
        <f>24000*3.5%+24000</f>
        <v>24840</v>
      </c>
      <c r="G212" s="87">
        <f t="shared" si="6"/>
        <v>24840</v>
      </c>
      <c r="H212" s="83" t="s">
        <v>715</v>
      </c>
      <c r="I212" s="40" t="s">
        <v>716</v>
      </c>
      <c r="J212" s="129" t="s">
        <v>994</v>
      </c>
      <c r="K212" s="40" t="s">
        <v>71</v>
      </c>
      <c r="L212" s="40" t="s">
        <v>717</v>
      </c>
    </row>
    <row r="213" spans="1:12" ht="24" x14ac:dyDescent="0.25">
      <c r="A213" s="83">
        <v>210</v>
      </c>
      <c r="B213" s="118" t="s">
        <v>666</v>
      </c>
      <c r="C213" s="40" t="s">
        <v>695</v>
      </c>
      <c r="D213" s="123">
        <v>1</v>
      </c>
      <c r="E213" s="148" t="s">
        <v>696</v>
      </c>
      <c r="F213" s="149">
        <f>49000*3.5%+49000</f>
        <v>50715</v>
      </c>
      <c r="G213" s="87">
        <f t="shared" si="6"/>
        <v>50715</v>
      </c>
      <c r="H213" s="83" t="s">
        <v>715</v>
      </c>
      <c r="I213" s="40" t="s">
        <v>716</v>
      </c>
      <c r="J213" s="129" t="s">
        <v>994</v>
      </c>
      <c r="K213" s="40" t="s">
        <v>71</v>
      </c>
      <c r="L213" s="40" t="s">
        <v>717</v>
      </c>
    </row>
    <row r="214" spans="1:12" ht="24" x14ac:dyDescent="0.25">
      <c r="A214" s="83">
        <v>211</v>
      </c>
      <c r="B214" s="118" t="s">
        <v>667</v>
      </c>
      <c r="C214" s="40" t="s">
        <v>695</v>
      </c>
      <c r="D214" s="123">
        <v>1</v>
      </c>
      <c r="E214" s="148" t="s">
        <v>706</v>
      </c>
      <c r="F214" s="125">
        <f>15000*3.5%+15000</f>
        <v>15525</v>
      </c>
      <c r="G214" s="87">
        <f t="shared" si="6"/>
        <v>15525</v>
      </c>
      <c r="H214" s="83" t="s">
        <v>715</v>
      </c>
      <c r="I214" s="40" t="s">
        <v>716</v>
      </c>
      <c r="J214" s="129" t="s">
        <v>994</v>
      </c>
      <c r="K214" s="40" t="s">
        <v>71</v>
      </c>
      <c r="L214" s="40" t="s">
        <v>717</v>
      </c>
    </row>
    <row r="215" spans="1:12" ht="24" x14ac:dyDescent="0.25">
      <c r="A215" s="83">
        <v>212</v>
      </c>
      <c r="B215" s="118" t="s">
        <v>668</v>
      </c>
      <c r="C215" s="40" t="s">
        <v>695</v>
      </c>
      <c r="D215" s="123">
        <v>1</v>
      </c>
      <c r="E215" s="148" t="s">
        <v>696</v>
      </c>
      <c r="F215" s="149">
        <f>9000*3.5%+9000</f>
        <v>9315</v>
      </c>
      <c r="G215" s="87">
        <f t="shared" si="6"/>
        <v>9315</v>
      </c>
      <c r="H215" s="83" t="s">
        <v>715</v>
      </c>
      <c r="I215" s="40" t="s">
        <v>716</v>
      </c>
      <c r="J215" s="129" t="s">
        <v>994</v>
      </c>
      <c r="K215" s="40" t="s">
        <v>71</v>
      </c>
      <c r="L215" s="40" t="s">
        <v>717</v>
      </c>
    </row>
    <row r="216" spans="1:12" ht="24" x14ac:dyDescent="0.25">
      <c r="A216" s="83">
        <v>213</v>
      </c>
      <c r="B216" s="118" t="s">
        <v>669</v>
      </c>
      <c r="C216" s="40" t="s">
        <v>695</v>
      </c>
      <c r="D216" s="123">
        <v>1</v>
      </c>
      <c r="E216" s="148" t="s">
        <v>696</v>
      </c>
      <c r="F216" s="149">
        <f>85000*3.5%+85000</f>
        <v>87975</v>
      </c>
      <c r="G216" s="87">
        <f t="shared" si="6"/>
        <v>87975</v>
      </c>
      <c r="H216" s="83" t="s">
        <v>715</v>
      </c>
      <c r="I216" s="40" t="s">
        <v>716</v>
      </c>
      <c r="J216" s="129" t="s">
        <v>994</v>
      </c>
      <c r="K216" s="40" t="s">
        <v>71</v>
      </c>
      <c r="L216" s="40" t="s">
        <v>717</v>
      </c>
    </row>
    <row r="217" spans="1:12" ht="60" x14ac:dyDescent="0.25">
      <c r="A217" s="83">
        <v>214</v>
      </c>
      <c r="B217" s="118" t="s">
        <v>670</v>
      </c>
      <c r="C217" s="40" t="s">
        <v>695</v>
      </c>
      <c r="D217" s="123">
        <v>1</v>
      </c>
      <c r="E217" s="148" t="s">
        <v>713</v>
      </c>
      <c r="F217" s="149">
        <f>5000*3.5%+5000</f>
        <v>5175</v>
      </c>
      <c r="G217" s="87">
        <f t="shared" si="6"/>
        <v>5175</v>
      </c>
      <c r="H217" s="83" t="s">
        <v>715</v>
      </c>
      <c r="I217" s="40" t="s">
        <v>716</v>
      </c>
      <c r="J217" s="129" t="s">
        <v>994</v>
      </c>
      <c r="K217" s="40" t="s">
        <v>71</v>
      </c>
      <c r="L217" s="40" t="s">
        <v>717</v>
      </c>
    </row>
    <row r="218" spans="1:12" ht="60" x14ac:dyDescent="0.25">
      <c r="A218" s="83">
        <v>215</v>
      </c>
      <c r="B218" s="118" t="s">
        <v>671</v>
      </c>
      <c r="C218" s="40" t="s">
        <v>695</v>
      </c>
      <c r="D218" s="123">
        <v>1</v>
      </c>
      <c r="E218" s="148" t="s">
        <v>713</v>
      </c>
      <c r="F218" s="149">
        <f>5000*3.5%+5000</f>
        <v>5175</v>
      </c>
      <c r="G218" s="87">
        <f t="shared" si="6"/>
        <v>5175</v>
      </c>
      <c r="H218" s="83" t="s">
        <v>715</v>
      </c>
      <c r="I218" s="40" t="s">
        <v>716</v>
      </c>
      <c r="J218" s="129" t="s">
        <v>994</v>
      </c>
      <c r="K218" s="40" t="s">
        <v>71</v>
      </c>
      <c r="L218" s="40" t="s">
        <v>717</v>
      </c>
    </row>
    <row r="219" spans="1:12" ht="36" x14ac:dyDescent="0.25">
      <c r="A219" s="83">
        <v>216</v>
      </c>
      <c r="B219" s="118" t="s">
        <v>672</v>
      </c>
      <c r="C219" s="40" t="s">
        <v>695</v>
      </c>
      <c r="D219" s="123">
        <v>1</v>
      </c>
      <c r="E219" s="148" t="s">
        <v>696</v>
      </c>
      <c r="F219" s="152">
        <f>800*3.5%+800</f>
        <v>828</v>
      </c>
      <c r="G219" s="87">
        <f t="shared" si="6"/>
        <v>828</v>
      </c>
      <c r="H219" s="83" t="s">
        <v>715</v>
      </c>
      <c r="I219" s="40" t="s">
        <v>716</v>
      </c>
      <c r="J219" s="129" t="s">
        <v>994</v>
      </c>
      <c r="K219" s="40" t="s">
        <v>71</v>
      </c>
      <c r="L219" s="40" t="s">
        <v>717</v>
      </c>
    </row>
    <row r="220" spans="1:12" ht="24" x14ac:dyDescent="0.25">
      <c r="A220" s="83">
        <v>217</v>
      </c>
      <c r="B220" s="118" t="s">
        <v>673</v>
      </c>
      <c r="C220" s="40" t="s">
        <v>695</v>
      </c>
      <c r="D220" s="123">
        <v>1</v>
      </c>
      <c r="E220" s="148" t="s">
        <v>27</v>
      </c>
      <c r="F220" s="149">
        <f>9000*3.5%+9000</f>
        <v>9315</v>
      </c>
      <c r="G220" s="87">
        <f t="shared" si="6"/>
        <v>9315</v>
      </c>
      <c r="H220" s="83" t="s">
        <v>715</v>
      </c>
      <c r="I220" s="40" t="s">
        <v>716</v>
      </c>
      <c r="J220" s="129" t="s">
        <v>994</v>
      </c>
      <c r="K220" s="40" t="s">
        <v>71</v>
      </c>
      <c r="L220" s="40" t="s">
        <v>717</v>
      </c>
    </row>
    <row r="221" spans="1:12" ht="24" x14ac:dyDescent="0.25">
      <c r="A221" s="83">
        <v>218</v>
      </c>
      <c r="B221" s="118" t="s">
        <v>674</v>
      </c>
      <c r="C221" s="40" t="s">
        <v>695</v>
      </c>
      <c r="D221" s="123">
        <v>1</v>
      </c>
      <c r="E221" s="148" t="s">
        <v>696</v>
      </c>
      <c r="F221" s="149">
        <f>28000*3.5%+28000</f>
        <v>28980</v>
      </c>
      <c r="G221" s="87">
        <f t="shared" si="6"/>
        <v>28980</v>
      </c>
      <c r="H221" s="83" t="s">
        <v>715</v>
      </c>
      <c r="I221" s="40" t="s">
        <v>716</v>
      </c>
      <c r="J221" s="129" t="s">
        <v>994</v>
      </c>
      <c r="K221" s="40" t="s">
        <v>71</v>
      </c>
      <c r="L221" s="40" t="s">
        <v>717</v>
      </c>
    </row>
    <row r="222" spans="1:12" ht="24" x14ac:dyDescent="0.25">
      <c r="A222" s="83">
        <v>219</v>
      </c>
      <c r="B222" s="118" t="s">
        <v>675</v>
      </c>
      <c r="C222" s="40" t="s">
        <v>695</v>
      </c>
      <c r="D222" s="123">
        <v>1</v>
      </c>
      <c r="E222" s="148" t="s">
        <v>696</v>
      </c>
      <c r="F222" s="149">
        <f>22000*3.5%+22000</f>
        <v>22770</v>
      </c>
      <c r="G222" s="87">
        <f t="shared" si="6"/>
        <v>22770</v>
      </c>
      <c r="H222" s="83" t="s">
        <v>715</v>
      </c>
      <c r="I222" s="40" t="s">
        <v>716</v>
      </c>
      <c r="J222" s="129" t="s">
        <v>994</v>
      </c>
      <c r="K222" s="40" t="s">
        <v>71</v>
      </c>
      <c r="L222" s="40" t="s">
        <v>717</v>
      </c>
    </row>
    <row r="223" spans="1:12" ht="24" x14ac:dyDescent="0.25">
      <c r="A223" s="83">
        <v>220</v>
      </c>
      <c r="B223" s="118" t="s">
        <v>676</v>
      </c>
      <c r="C223" s="40" t="s">
        <v>695</v>
      </c>
      <c r="D223" s="123">
        <v>1</v>
      </c>
      <c r="E223" s="148" t="s">
        <v>714</v>
      </c>
      <c r="F223" s="149">
        <f>60000*3.5%+60000</f>
        <v>62100</v>
      </c>
      <c r="G223" s="87">
        <f t="shared" si="6"/>
        <v>62100</v>
      </c>
      <c r="H223" s="83" t="s">
        <v>715</v>
      </c>
      <c r="I223" s="40" t="s">
        <v>716</v>
      </c>
      <c r="J223" s="129" t="s">
        <v>994</v>
      </c>
      <c r="K223" s="40" t="s">
        <v>71</v>
      </c>
      <c r="L223" s="40" t="s">
        <v>717</v>
      </c>
    </row>
    <row r="224" spans="1:12" ht="24" x14ac:dyDescent="0.25">
      <c r="A224" s="83">
        <v>221</v>
      </c>
      <c r="B224" s="118" t="s">
        <v>677</v>
      </c>
      <c r="C224" s="40" t="s">
        <v>695</v>
      </c>
      <c r="D224" s="123">
        <v>1</v>
      </c>
      <c r="E224" s="148" t="s">
        <v>696</v>
      </c>
      <c r="F224" s="149">
        <f>60000*3.5%+60000</f>
        <v>62100</v>
      </c>
      <c r="G224" s="87">
        <f t="shared" si="6"/>
        <v>62100</v>
      </c>
      <c r="H224" s="83" t="s">
        <v>715</v>
      </c>
      <c r="I224" s="40" t="s">
        <v>716</v>
      </c>
      <c r="J224" s="129" t="s">
        <v>994</v>
      </c>
      <c r="K224" s="40" t="s">
        <v>71</v>
      </c>
      <c r="L224" s="40" t="s">
        <v>717</v>
      </c>
    </row>
    <row r="225" spans="1:12" ht="24" x14ac:dyDescent="0.25">
      <c r="A225" s="83">
        <v>222</v>
      </c>
      <c r="B225" s="118" t="s">
        <v>678</v>
      </c>
      <c r="C225" s="40" t="s">
        <v>695</v>
      </c>
      <c r="D225" s="123">
        <v>1</v>
      </c>
      <c r="E225" s="148" t="s">
        <v>696</v>
      </c>
      <c r="F225" s="149">
        <f>35000*3.5%+35000</f>
        <v>36225</v>
      </c>
      <c r="G225" s="87">
        <f t="shared" si="6"/>
        <v>36225</v>
      </c>
      <c r="H225" s="83" t="s">
        <v>715</v>
      </c>
      <c r="I225" s="40" t="s">
        <v>716</v>
      </c>
      <c r="J225" s="129" t="s">
        <v>994</v>
      </c>
      <c r="K225" s="40" t="s">
        <v>71</v>
      </c>
      <c r="L225" s="40" t="s">
        <v>717</v>
      </c>
    </row>
    <row r="226" spans="1:12" ht="24" x14ac:dyDescent="0.25">
      <c r="A226" s="83">
        <v>223</v>
      </c>
      <c r="B226" s="118" t="s">
        <v>679</v>
      </c>
      <c r="C226" s="40" t="s">
        <v>695</v>
      </c>
      <c r="D226" s="123">
        <v>1</v>
      </c>
      <c r="E226" s="148" t="s">
        <v>696</v>
      </c>
      <c r="F226" s="149">
        <f>8000*3.5+8000</f>
        <v>36000</v>
      </c>
      <c r="G226" s="87">
        <f t="shared" si="6"/>
        <v>36000</v>
      </c>
      <c r="H226" s="83" t="s">
        <v>715</v>
      </c>
      <c r="I226" s="40" t="s">
        <v>716</v>
      </c>
      <c r="J226" s="129" t="s">
        <v>994</v>
      </c>
      <c r="K226" s="40" t="s">
        <v>71</v>
      </c>
      <c r="L226" s="40" t="s">
        <v>717</v>
      </c>
    </row>
    <row r="227" spans="1:12" ht="24" x14ac:dyDescent="0.25">
      <c r="A227" s="83">
        <v>224</v>
      </c>
      <c r="B227" s="118" t="s">
        <v>680</v>
      </c>
      <c r="C227" s="40" t="s">
        <v>695</v>
      </c>
      <c r="D227" s="123">
        <v>1</v>
      </c>
      <c r="E227" s="148" t="s">
        <v>696</v>
      </c>
      <c r="F227" s="149">
        <f>50000*3.5%+50000</f>
        <v>51750</v>
      </c>
      <c r="G227" s="87">
        <f t="shared" si="6"/>
        <v>51750</v>
      </c>
      <c r="H227" s="83" t="s">
        <v>715</v>
      </c>
      <c r="I227" s="40" t="s">
        <v>716</v>
      </c>
      <c r="J227" s="129" t="s">
        <v>994</v>
      </c>
      <c r="K227" s="40" t="s">
        <v>71</v>
      </c>
      <c r="L227" s="40" t="s">
        <v>717</v>
      </c>
    </row>
    <row r="228" spans="1:12" ht="24" x14ac:dyDescent="0.25">
      <c r="A228" s="83">
        <v>225</v>
      </c>
      <c r="B228" s="118" t="s">
        <v>681</v>
      </c>
      <c r="C228" s="40" t="s">
        <v>695</v>
      </c>
      <c r="D228" s="123">
        <v>1</v>
      </c>
      <c r="E228" s="148" t="s">
        <v>696</v>
      </c>
      <c r="F228" s="149">
        <f>95000*3.5%+95000</f>
        <v>98325</v>
      </c>
      <c r="G228" s="87">
        <f t="shared" si="6"/>
        <v>98325</v>
      </c>
      <c r="H228" s="83" t="s">
        <v>715</v>
      </c>
      <c r="I228" s="40" t="s">
        <v>716</v>
      </c>
      <c r="J228" s="129" t="s">
        <v>994</v>
      </c>
      <c r="K228" s="40" t="s">
        <v>71</v>
      </c>
      <c r="L228" s="40" t="s">
        <v>717</v>
      </c>
    </row>
    <row r="229" spans="1:12" ht="24" x14ac:dyDescent="0.25">
      <c r="A229" s="83">
        <v>226</v>
      </c>
      <c r="B229" s="118" t="s">
        <v>682</v>
      </c>
      <c r="C229" s="40" t="s">
        <v>695</v>
      </c>
      <c r="D229" s="123">
        <v>1</v>
      </c>
      <c r="E229" s="148" t="s">
        <v>696</v>
      </c>
      <c r="F229" s="149">
        <f>190000*3.5%+190000</f>
        <v>196650</v>
      </c>
      <c r="G229" s="87">
        <f t="shared" si="6"/>
        <v>196650</v>
      </c>
      <c r="H229" s="83" t="s">
        <v>715</v>
      </c>
      <c r="I229" s="40" t="s">
        <v>716</v>
      </c>
      <c r="J229" s="129" t="s">
        <v>994</v>
      </c>
      <c r="K229" s="40" t="s">
        <v>71</v>
      </c>
      <c r="L229" s="40" t="s">
        <v>717</v>
      </c>
    </row>
    <row r="230" spans="1:12" ht="24" x14ac:dyDescent="0.25">
      <c r="A230" s="83">
        <v>227</v>
      </c>
      <c r="B230" s="118" t="s">
        <v>683</v>
      </c>
      <c r="C230" s="40" t="s">
        <v>695</v>
      </c>
      <c r="D230" s="123">
        <v>1</v>
      </c>
      <c r="E230" s="148" t="s">
        <v>696</v>
      </c>
      <c r="F230" s="149">
        <f>20000*3.5%+20000</f>
        <v>20700</v>
      </c>
      <c r="G230" s="87">
        <f t="shared" si="6"/>
        <v>20700</v>
      </c>
      <c r="H230" s="83" t="s">
        <v>715</v>
      </c>
      <c r="I230" s="40" t="s">
        <v>716</v>
      </c>
      <c r="J230" s="129" t="s">
        <v>994</v>
      </c>
      <c r="K230" s="40" t="s">
        <v>71</v>
      </c>
      <c r="L230" s="40" t="s">
        <v>717</v>
      </c>
    </row>
    <row r="231" spans="1:12" ht="24" x14ac:dyDescent="0.25">
      <c r="A231" s="83">
        <v>228</v>
      </c>
      <c r="B231" s="118" t="s">
        <v>684</v>
      </c>
      <c r="C231" s="40" t="s">
        <v>695</v>
      </c>
      <c r="D231" s="123">
        <v>1</v>
      </c>
      <c r="E231" s="148" t="s">
        <v>696</v>
      </c>
      <c r="F231" s="149">
        <f>36000*3.5%+36000</f>
        <v>37260</v>
      </c>
      <c r="G231" s="87">
        <f t="shared" si="6"/>
        <v>37260</v>
      </c>
      <c r="H231" s="83" t="s">
        <v>715</v>
      </c>
      <c r="I231" s="40" t="s">
        <v>716</v>
      </c>
      <c r="J231" s="129" t="s">
        <v>994</v>
      </c>
      <c r="K231" s="40" t="s">
        <v>71</v>
      </c>
      <c r="L231" s="40" t="s">
        <v>717</v>
      </c>
    </row>
    <row r="232" spans="1:12" ht="24" x14ac:dyDescent="0.25">
      <c r="A232" s="83">
        <v>229</v>
      </c>
      <c r="B232" s="118" t="s">
        <v>685</v>
      </c>
      <c r="C232" s="40" t="s">
        <v>695</v>
      </c>
      <c r="D232" s="123">
        <v>1</v>
      </c>
      <c r="E232" s="148" t="s">
        <v>696</v>
      </c>
      <c r="F232" s="149">
        <f>49000*3.5%+49000</f>
        <v>50715</v>
      </c>
      <c r="G232" s="87">
        <f t="shared" si="6"/>
        <v>50715</v>
      </c>
      <c r="H232" s="83" t="s">
        <v>715</v>
      </c>
      <c r="I232" s="40" t="s">
        <v>716</v>
      </c>
      <c r="J232" s="129" t="s">
        <v>994</v>
      </c>
      <c r="K232" s="40" t="s">
        <v>71</v>
      </c>
      <c r="L232" s="40" t="s">
        <v>717</v>
      </c>
    </row>
    <row r="233" spans="1:12" ht="24" x14ac:dyDescent="0.25">
      <c r="A233" s="83">
        <v>230</v>
      </c>
      <c r="B233" s="118" t="s">
        <v>686</v>
      </c>
      <c r="C233" s="40" t="s">
        <v>695</v>
      </c>
      <c r="D233" s="123">
        <v>1</v>
      </c>
      <c r="E233" s="148" t="s">
        <v>696</v>
      </c>
      <c r="F233" s="149">
        <f>195000*3.5%+195000</f>
        <v>201825</v>
      </c>
      <c r="G233" s="87">
        <f t="shared" si="6"/>
        <v>201825</v>
      </c>
      <c r="H233" s="83" t="s">
        <v>715</v>
      </c>
      <c r="I233" s="40" t="s">
        <v>716</v>
      </c>
      <c r="J233" s="129" t="s">
        <v>994</v>
      </c>
      <c r="K233" s="40" t="s">
        <v>71</v>
      </c>
      <c r="L233" s="40" t="s">
        <v>717</v>
      </c>
    </row>
    <row r="234" spans="1:12" ht="24" x14ac:dyDescent="0.25">
      <c r="A234" s="83">
        <v>231</v>
      </c>
      <c r="B234" s="118" t="s">
        <v>687</v>
      </c>
      <c r="C234" s="40" t="s">
        <v>695</v>
      </c>
      <c r="D234" s="123">
        <v>1</v>
      </c>
      <c r="E234" s="148" t="s">
        <v>696</v>
      </c>
      <c r="F234" s="152">
        <f>800*3.5%+800</f>
        <v>828</v>
      </c>
      <c r="G234" s="87">
        <f t="shared" si="6"/>
        <v>828</v>
      </c>
      <c r="H234" s="83" t="s">
        <v>715</v>
      </c>
      <c r="I234" s="40" t="s">
        <v>716</v>
      </c>
      <c r="J234" s="129" t="s">
        <v>994</v>
      </c>
      <c r="K234" s="40" t="s">
        <v>71</v>
      </c>
      <c r="L234" s="40" t="s">
        <v>717</v>
      </c>
    </row>
    <row r="235" spans="1:12" ht="24" x14ac:dyDescent="0.25">
      <c r="A235" s="83">
        <v>233</v>
      </c>
      <c r="B235" s="118" t="s">
        <v>688</v>
      </c>
      <c r="C235" s="40" t="s">
        <v>695</v>
      </c>
      <c r="D235" s="123">
        <v>1</v>
      </c>
      <c r="E235" s="148" t="s">
        <v>696</v>
      </c>
      <c r="F235" s="149">
        <f>1000*3.5%+1000</f>
        <v>1035</v>
      </c>
      <c r="G235" s="87">
        <f t="shared" si="6"/>
        <v>1035</v>
      </c>
      <c r="H235" s="83" t="s">
        <v>715</v>
      </c>
      <c r="I235" s="40" t="s">
        <v>716</v>
      </c>
      <c r="J235" s="129" t="s">
        <v>994</v>
      </c>
      <c r="K235" s="40" t="s">
        <v>71</v>
      </c>
      <c r="L235" s="40" t="s">
        <v>717</v>
      </c>
    </row>
    <row r="236" spans="1:12" ht="24" x14ac:dyDescent="0.25">
      <c r="A236" s="83">
        <v>234</v>
      </c>
      <c r="B236" s="118" t="s">
        <v>689</v>
      </c>
      <c r="C236" s="40" t="s">
        <v>695</v>
      </c>
      <c r="D236" s="123">
        <v>1</v>
      </c>
      <c r="E236" s="148" t="s">
        <v>696</v>
      </c>
      <c r="F236" s="149">
        <f>1500*3.5%+1500</f>
        <v>1552.5</v>
      </c>
      <c r="G236" s="87">
        <f t="shared" si="6"/>
        <v>1552.5</v>
      </c>
      <c r="H236" s="83" t="s">
        <v>715</v>
      </c>
      <c r="I236" s="40" t="s">
        <v>716</v>
      </c>
      <c r="J236" s="129" t="s">
        <v>994</v>
      </c>
      <c r="K236" s="40" t="s">
        <v>71</v>
      </c>
      <c r="L236" s="40" t="s">
        <v>717</v>
      </c>
    </row>
    <row r="237" spans="1:12" ht="24" x14ac:dyDescent="0.25">
      <c r="A237" s="83">
        <v>235</v>
      </c>
      <c r="B237" s="118" t="s">
        <v>690</v>
      </c>
      <c r="C237" s="40" t="s">
        <v>695</v>
      </c>
      <c r="D237" s="123">
        <v>1</v>
      </c>
      <c r="E237" s="148" t="s">
        <v>696</v>
      </c>
      <c r="F237" s="149">
        <f>2000*3.5%+2000</f>
        <v>2070</v>
      </c>
      <c r="G237" s="87">
        <f t="shared" si="6"/>
        <v>2070</v>
      </c>
      <c r="H237" s="83" t="s">
        <v>715</v>
      </c>
      <c r="I237" s="40" t="s">
        <v>716</v>
      </c>
      <c r="J237" s="129" t="s">
        <v>994</v>
      </c>
      <c r="K237" s="40" t="s">
        <v>71</v>
      </c>
      <c r="L237" s="40" t="s">
        <v>717</v>
      </c>
    </row>
    <row r="238" spans="1:12" ht="24" x14ac:dyDescent="0.25">
      <c r="A238" s="83">
        <v>236</v>
      </c>
      <c r="B238" s="118" t="s">
        <v>691</v>
      </c>
      <c r="C238" s="40" t="s">
        <v>695</v>
      </c>
      <c r="D238" s="123">
        <v>1</v>
      </c>
      <c r="E238" s="148" t="s">
        <v>696</v>
      </c>
      <c r="F238" s="149">
        <f>23000*3.5%+23000</f>
        <v>23805</v>
      </c>
      <c r="G238" s="87">
        <f t="shared" si="6"/>
        <v>23805</v>
      </c>
      <c r="H238" s="83" t="s">
        <v>715</v>
      </c>
      <c r="I238" s="40" t="s">
        <v>716</v>
      </c>
      <c r="J238" s="129" t="s">
        <v>994</v>
      </c>
      <c r="K238" s="40" t="s">
        <v>71</v>
      </c>
      <c r="L238" s="40" t="s">
        <v>717</v>
      </c>
    </row>
    <row r="239" spans="1:12" ht="24" x14ac:dyDescent="0.25">
      <c r="A239" s="83">
        <v>237</v>
      </c>
      <c r="B239" s="118" t="s">
        <v>692</v>
      </c>
      <c r="C239" s="40" t="s">
        <v>695</v>
      </c>
      <c r="D239" s="123">
        <v>1</v>
      </c>
      <c r="E239" s="148" t="s">
        <v>696</v>
      </c>
      <c r="F239" s="125">
        <f>15000*3.5%+15000</f>
        <v>15525</v>
      </c>
      <c r="G239" s="87">
        <f t="shared" si="6"/>
        <v>15525</v>
      </c>
      <c r="H239" s="83" t="s">
        <v>715</v>
      </c>
      <c r="I239" s="40" t="s">
        <v>716</v>
      </c>
      <c r="J239" s="129" t="s">
        <v>994</v>
      </c>
      <c r="K239" s="40" t="s">
        <v>71</v>
      </c>
      <c r="L239" s="40" t="s">
        <v>717</v>
      </c>
    </row>
    <row r="240" spans="1:12" ht="24" x14ac:dyDescent="0.25">
      <c r="A240" s="83">
        <v>238</v>
      </c>
      <c r="B240" s="118" t="s">
        <v>693</v>
      </c>
      <c r="C240" s="40" t="s">
        <v>695</v>
      </c>
      <c r="D240" s="123">
        <v>1</v>
      </c>
      <c r="E240" s="148" t="s">
        <v>696</v>
      </c>
      <c r="F240" s="149">
        <f>9800*3.5%+9800</f>
        <v>10143</v>
      </c>
      <c r="G240" s="87">
        <f t="shared" si="6"/>
        <v>10143</v>
      </c>
      <c r="H240" s="83" t="s">
        <v>715</v>
      </c>
      <c r="I240" s="40" t="s">
        <v>716</v>
      </c>
      <c r="J240" s="129" t="s">
        <v>994</v>
      </c>
      <c r="K240" s="40" t="s">
        <v>71</v>
      </c>
      <c r="L240" s="40" t="s">
        <v>717</v>
      </c>
    </row>
    <row r="241" spans="1:12" ht="24" x14ac:dyDescent="0.25">
      <c r="A241" s="83">
        <v>239</v>
      </c>
      <c r="B241" s="118" t="s">
        <v>694</v>
      </c>
      <c r="C241" s="40" t="s">
        <v>695</v>
      </c>
      <c r="D241" s="123">
        <v>1</v>
      </c>
      <c r="E241" s="148" t="s">
        <v>696</v>
      </c>
      <c r="F241" s="149">
        <f>9500*3.5%+9500</f>
        <v>9832.5</v>
      </c>
      <c r="G241" s="87">
        <f t="shared" si="6"/>
        <v>9832.5</v>
      </c>
      <c r="H241" s="83" t="s">
        <v>715</v>
      </c>
      <c r="I241" s="40" t="s">
        <v>716</v>
      </c>
      <c r="J241" s="129" t="s">
        <v>994</v>
      </c>
      <c r="K241" s="40" t="s">
        <v>71</v>
      </c>
      <c r="L241" s="40" t="s">
        <v>717</v>
      </c>
    </row>
    <row r="242" spans="1:12" x14ac:dyDescent="0.25">
      <c r="A242" s="224" t="s">
        <v>721</v>
      </c>
      <c r="B242" s="224"/>
      <c r="C242" s="224"/>
      <c r="D242" s="224"/>
      <c r="E242" s="224"/>
      <c r="F242" s="224"/>
      <c r="G242" s="224"/>
      <c r="H242" s="224"/>
      <c r="I242" s="224"/>
      <c r="J242" s="224"/>
      <c r="K242" s="224"/>
      <c r="L242" s="224"/>
    </row>
    <row r="243" spans="1:12" ht="24" x14ac:dyDescent="0.25">
      <c r="A243" s="147">
        <v>240</v>
      </c>
      <c r="B243" s="146" t="s">
        <v>718</v>
      </c>
      <c r="C243" s="40" t="s">
        <v>695</v>
      </c>
      <c r="D243" s="123">
        <v>1</v>
      </c>
      <c r="E243" s="148" t="s">
        <v>696</v>
      </c>
      <c r="F243" s="149">
        <f>16000*3.5%+16000</f>
        <v>16560</v>
      </c>
      <c r="G243" s="87">
        <f t="shared" si="6"/>
        <v>16560</v>
      </c>
      <c r="H243" s="83" t="s">
        <v>715</v>
      </c>
      <c r="I243" s="40" t="s">
        <v>716</v>
      </c>
      <c r="J243" s="129" t="s">
        <v>994</v>
      </c>
      <c r="K243" s="40" t="s">
        <v>71</v>
      </c>
      <c r="L243" s="40" t="s">
        <v>717</v>
      </c>
    </row>
    <row r="244" spans="1:12" ht="24" x14ac:dyDescent="0.25">
      <c r="A244" s="147">
        <v>241</v>
      </c>
      <c r="B244" s="146" t="s">
        <v>719</v>
      </c>
      <c r="C244" s="40" t="s">
        <v>695</v>
      </c>
      <c r="D244" s="123">
        <v>1</v>
      </c>
      <c r="E244" s="148" t="s">
        <v>696</v>
      </c>
      <c r="F244" s="149">
        <f>25000*3.5%+25000</f>
        <v>25875</v>
      </c>
      <c r="G244" s="87">
        <f t="shared" si="6"/>
        <v>25875</v>
      </c>
      <c r="H244" s="83" t="s">
        <v>715</v>
      </c>
      <c r="I244" s="40" t="s">
        <v>716</v>
      </c>
      <c r="J244" s="129" t="s">
        <v>994</v>
      </c>
      <c r="K244" s="40" t="s">
        <v>71</v>
      </c>
      <c r="L244" s="40" t="s">
        <v>717</v>
      </c>
    </row>
    <row r="245" spans="1:12" ht="24" x14ac:dyDescent="0.25">
      <c r="A245" s="147">
        <v>242</v>
      </c>
      <c r="B245" s="146" t="s">
        <v>720</v>
      </c>
      <c r="C245" s="40" t="s">
        <v>695</v>
      </c>
      <c r="D245" s="123">
        <v>1</v>
      </c>
      <c r="E245" s="148" t="s">
        <v>696</v>
      </c>
      <c r="F245" s="125">
        <f>15000*3.5%+15000</f>
        <v>15525</v>
      </c>
      <c r="G245" s="87">
        <f t="shared" si="6"/>
        <v>15525</v>
      </c>
      <c r="H245" s="83" t="s">
        <v>715</v>
      </c>
      <c r="I245" s="40" t="s">
        <v>716</v>
      </c>
      <c r="J245" s="129" t="s">
        <v>994</v>
      </c>
      <c r="K245" s="40" t="s">
        <v>71</v>
      </c>
      <c r="L245" s="40" t="s">
        <v>717</v>
      </c>
    </row>
  </sheetData>
  <mergeCells count="4">
    <mergeCell ref="A1:L1"/>
    <mergeCell ref="A2:C2"/>
    <mergeCell ref="I2:L2"/>
    <mergeCell ref="A242:L24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A3" sqref="A3:C3"/>
    </sheetView>
  </sheetViews>
  <sheetFormatPr baseColWidth="10" defaultRowHeight="15" x14ac:dyDescent="0.25"/>
  <cols>
    <col min="1" max="1" width="5.140625" customWidth="1"/>
    <col min="2" max="2" width="23.85546875" customWidth="1"/>
    <col min="3" max="3" width="17.28515625" customWidth="1"/>
    <col min="4" max="4" width="6.140625" customWidth="1"/>
    <col min="5" max="5" width="7.42578125" customWidth="1"/>
    <col min="6" max="6" width="11" customWidth="1"/>
    <col min="7" max="7" width="11.7109375" bestFit="1" customWidth="1"/>
    <col min="12" max="12" width="15.7109375" customWidth="1"/>
  </cols>
  <sheetData>
    <row r="1" spans="1:12" x14ac:dyDescent="0.25">
      <c r="A1" t="s">
        <v>13</v>
      </c>
    </row>
    <row r="2" spans="1:12" ht="15.75" x14ac:dyDescent="0.25">
      <c r="A2" s="225" t="s">
        <v>1144</v>
      </c>
      <c r="B2" s="226"/>
      <c r="C2" s="226"/>
      <c r="D2" s="226"/>
      <c r="E2" s="226"/>
      <c r="F2" s="226"/>
      <c r="G2" s="226"/>
      <c r="H2" s="226"/>
      <c r="I2" s="226"/>
      <c r="J2" s="226"/>
      <c r="K2" s="226"/>
      <c r="L2" s="227"/>
    </row>
    <row r="3" spans="1:12" ht="15.75" x14ac:dyDescent="0.25">
      <c r="A3" s="221" t="s">
        <v>1076</v>
      </c>
      <c r="B3" s="222"/>
      <c r="C3" s="222"/>
      <c r="D3" s="144"/>
      <c r="E3" s="144"/>
      <c r="F3" s="144"/>
      <c r="G3" s="144"/>
      <c r="H3" s="144"/>
      <c r="I3" s="222" t="s">
        <v>1077</v>
      </c>
      <c r="J3" s="222"/>
      <c r="K3" s="222"/>
      <c r="L3" s="223"/>
    </row>
    <row r="4" spans="1:12" ht="45" x14ac:dyDescent="0.25">
      <c r="A4" s="17" t="s">
        <v>0</v>
      </c>
      <c r="B4" s="17" t="s">
        <v>1</v>
      </c>
      <c r="C4" s="17" t="s">
        <v>2</v>
      </c>
      <c r="D4" s="17" t="s">
        <v>3</v>
      </c>
      <c r="E4" s="17" t="s">
        <v>4</v>
      </c>
      <c r="F4" s="17" t="s">
        <v>352</v>
      </c>
      <c r="G4" s="145" t="s">
        <v>9</v>
      </c>
      <c r="H4" s="17" t="s">
        <v>6</v>
      </c>
      <c r="I4" s="17" t="s">
        <v>7</v>
      </c>
      <c r="J4" s="17" t="s">
        <v>926</v>
      </c>
      <c r="K4" s="17" t="s">
        <v>8</v>
      </c>
      <c r="L4" s="17" t="s">
        <v>10</v>
      </c>
    </row>
    <row r="5" spans="1:12" ht="48" x14ac:dyDescent="0.25">
      <c r="A5" s="55">
        <v>1</v>
      </c>
      <c r="B5" s="51" t="s">
        <v>1073</v>
      </c>
      <c r="C5" s="51" t="s">
        <v>1074</v>
      </c>
      <c r="D5" s="55">
        <v>1</v>
      </c>
      <c r="E5" s="55" t="s">
        <v>12</v>
      </c>
      <c r="F5" s="155">
        <v>60000000</v>
      </c>
      <c r="G5" s="155">
        <v>60000000</v>
      </c>
      <c r="H5" s="55" t="s">
        <v>934</v>
      </c>
      <c r="I5" s="55" t="s">
        <v>836</v>
      </c>
      <c r="J5" s="55"/>
      <c r="K5" s="55" t="s">
        <v>1075</v>
      </c>
      <c r="L5" s="51" t="s">
        <v>1014</v>
      </c>
    </row>
    <row r="6" spans="1:12" x14ac:dyDescent="0.25">
      <c r="A6" s="154"/>
      <c r="B6" s="154"/>
      <c r="C6" s="154"/>
      <c r="D6" s="154"/>
      <c r="E6" s="154"/>
      <c r="F6" s="154"/>
      <c r="G6" s="154"/>
      <c r="H6" s="154"/>
      <c r="I6" s="154"/>
      <c r="J6" s="154"/>
      <c r="K6" s="154"/>
      <c r="L6" s="154"/>
    </row>
    <row r="7" spans="1:12" x14ac:dyDescent="0.25">
      <c r="A7" s="11"/>
      <c r="B7" s="11"/>
      <c r="C7" s="11"/>
      <c r="D7" s="11"/>
      <c r="E7" s="11"/>
      <c r="F7" s="11"/>
      <c r="G7" s="11"/>
      <c r="H7" s="11"/>
      <c r="I7" s="11"/>
      <c r="J7" s="11"/>
      <c r="K7" s="11"/>
      <c r="L7" s="11"/>
    </row>
  </sheetData>
  <mergeCells count="3">
    <mergeCell ref="A2:L2"/>
    <mergeCell ref="A3:C3"/>
    <mergeCell ref="I3:L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topLeftCell="A22" workbookViewId="0">
      <selection activeCell="H23" sqref="H23"/>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1" max="11" width="9.42578125" customWidth="1"/>
  </cols>
  <sheetData>
    <row r="1" spans="1:12" ht="15.75" x14ac:dyDescent="0.25">
      <c r="A1" s="201" t="s">
        <v>1128</v>
      </c>
      <c r="B1" s="202"/>
      <c r="C1" s="202"/>
      <c r="D1" s="202"/>
      <c r="E1" s="202"/>
      <c r="F1" s="202"/>
      <c r="G1" s="202"/>
      <c r="H1" s="202"/>
      <c r="I1" s="202"/>
      <c r="J1" s="202"/>
      <c r="K1" s="202"/>
      <c r="L1" s="203"/>
    </row>
    <row r="2" spans="1:12" ht="15.75" x14ac:dyDescent="0.25">
      <c r="A2" s="228" t="s">
        <v>1139</v>
      </c>
      <c r="B2" s="214"/>
      <c r="C2" s="214"/>
      <c r="D2" s="96"/>
      <c r="E2" s="96"/>
      <c r="F2" s="96"/>
      <c r="G2" s="96"/>
      <c r="H2" s="96"/>
      <c r="I2" s="214" t="s">
        <v>997</v>
      </c>
      <c r="J2" s="214"/>
      <c r="K2" s="214"/>
      <c r="L2" s="215"/>
    </row>
    <row r="3" spans="1:12" ht="45" x14ac:dyDescent="0.25">
      <c r="A3" s="16" t="s">
        <v>0</v>
      </c>
      <c r="B3" s="16" t="s">
        <v>1</v>
      </c>
      <c r="C3" s="17" t="s">
        <v>2</v>
      </c>
      <c r="D3" s="16" t="s">
        <v>3</v>
      </c>
      <c r="E3" s="16" t="s">
        <v>4</v>
      </c>
      <c r="F3" s="16" t="s">
        <v>352</v>
      </c>
      <c r="G3" s="18" t="s">
        <v>9</v>
      </c>
      <c r="H3" s="16" t="s">
        <v>6</v>
      </c>
      <c r="I3" s="16" t="s">
        <v>7</v>
      </c>
      <c r="J3" s="16" t="s">
        <v>926</v>
      </c>
      <c r="K3" s="16" t="s">
        <v>8</v>
      </c>
      <c r="L3" s="16" t="s">
        <v>10</v>
      </c>
    </row>
    <row r="4" spans="1:12" ht="36" x14ac:dyDescent="0.25">
      <c r="A4" s="40">
        <v>1</v>
      </c>
      <c r="B4" s="40" t="s">
        <v>998</v>
      </c>
      <c r="C4" s="40" t="s">
        <v>999</v>
      </c>
      <c r="D4" s="40">
        <v>1</v>
      </c>
      <c r="E4" s="40" t="s">
        <v>12</v>
      </c>
      <c r="F4" s="66">
        <v>77935500</v>
      </c>
      <c r="G4" s="66">
        <f>D4*F4</f>
        <v>77935500</v>
      </c>
      <c r="H4" s="40" t="s">
        <v>835</v>
      </c>
      <c r="I4" s="40" t="s">
        <v>836</v>
      </c>
      <c r="J4" s="138" t="s">
        <v>979</v>
      </c>
      <c r="K4" s="40" t="s">
        <v>71</v>
      </c>
      <c r="L4" s="40" t="s">
        <v>1000</v>
      </c>
    </row>
    <row r="5" spans="1:12" x14ac:dyDescent="0.25">
      <c r="A5" s="11"/>
      <c r="B5" s="11"/>
      <c r="C5" s="11"/>
      <c r="D5" s="11" t="s">
        <v>13</v>
      </c>
      <c r="E5" s="11"/>
      <c r="F5" s="11"/>
      <c r="G5" s="11"/>
      <c r="H5" s="11"/>
      <c r="I5" s="11"/>
      <c r="J5" s="11"/>
      <c r="K5" s="11"/>
      <c r="L5" s="11"/>
    </row>
    <row r="6" spans="1:12" x14ac:dyDescent="0.25">
      <c r="A6" s="11"/>
      <c r="B6" s="11"/>
      <c r="C6" s="11"/>
      <c r="D6" s="11"/>
      <c r="E6" s="11"/>
      <c r="F6" s="11"/>
      <c r="G6" s="11"/>
      <c r="H6" s="11"/>
      <c r="I6" s="11"/>
      <c r="J6" s="11"/>
      <c r="K6" s="11"/>
      <c r="L6" s="11"/>
    </row>
    <row r="7" spans="1:12" ht="15.75" x14ac:dyDescent="0.25">
      <c r="A7" s="218" t="s">
        <v>1113</v>
      </c>
      <c r="B7" s="219"/>
      <c r="C7" s="219"/>
      <c r="D7" s="219"/>
      <c r="E7" s="219"/>
      <c r="F7" s="219"/>
      <c r="G7" s="219"/>
      <c r="H7" s="219"/>
      <c r="I7" s="219"/>
      <c r="J7" s="219"/>
      <c r="K7" s="219"/>
      <c r="L7" s="220"/>
    </row>
    <row r="8" spans="1:12" ht="15.75" x14ac:dyDescent="0.25">
      <c r="A8" s="221" t="s">
        <v>1001</v>
      </c>
      <c r="B8" s="222"/>
      <c r="C8" s="222"/>
      <c r="D8" s="144"/>
      <c r="E8" s="144"/>
      <c r="F8" s="144"/>
      <c r="G8" s="144"/>
      <c r="H8" s="144"/>
      <c r="I8" s="222" t="s">
        <v>1002</v>
      </c>
      <c r="J8" s="222"/>
      <c r="K8" s="222"/>
      <c r="L8" s="223"/>
    </row>
    <row r="9" spans="1:12" ht="45" x14ac:dyDescent="0.25">
      <c r="A9" s="17" t="s">
        <v>0</v>
      </c>
      <c r="B9" s="17" t="s">
        <v>1</v>
      </c>
      <c r="C9" s="17" t="s">
        <v>2</v>
      </c>
      <c r="D9" s="17" t="s">
        <v>3</v>
      </c>
      <c r="E9" s="17" t="s">
        <v>4</v>
      </c>
      <c r="F9" s="17" t="s">
        <v>352</v>
      </c>
      <c r="G9" s="145" t="s">
        <v>9</v>
      </c>
      <c r="H9" s="17" t="s">
        <v>6</v>
      </c>
      <c r="I9" s="17" t="s">
        <v>7</v>
      </c>
      <c r="J9" s="17" t="s">
        <v>926</v>
      </c>
      <c r="K9" s="17" t="s">
        <v>8</v>
      </c>
      <c r="L9" s="17" t="s">
        <v>10</v>
      </c>
    </row>
    <row r="10" spans="1:12" ht="24" x14ac:dyDescent="0.25">
      <c r="A10" s="40">
        <v>1</v>
      </c>
      <c r="B10" s="40" t="s">
        <v>1003</v>
      </c>
      <c r="C10" s="40" t="s">
        <v>930</v>
      </c>
      <c r="D10" s="40">
        <v>1</v>
      </c>
      <c r="E10" s="40" t="s">
        <v>12</v>
      </c>
      <c r="F10" s="66">
        <v>87806514</v>
      </c>
      <c r="G10" s="66">
        <f>D10*F10</f>
        <v>87806514</v>
      </c>
      <c r="H10" s="40" t="s">
        <v>835</v>
      </c>
      <c r="I10" s="40" t="s">
        <v>836</v>
      </c>
      <c r="J10" s="119" t="s">
        <v>932</v>
      </c>
      <c r="K10" s="40" t="s">
        <v>71</v>
      </c>
      <c r="L10" s="40" t="s">
        <v>1000</v>
      </c>
    </row>
    <row r="11" spans="1:12" x14ac:dyDescent="0.25">
      <c r="A11" s="11"/>
      <c r="B11" s="11"/>
      <c r="C11" s="11"/>
      <c r="D11" s="11"/>
      <c r="E11" s="11"/>
      <c r="F11" s="11"/>
      <c r="G11" s="11"/>
      <c r="H11" s="11"/>
      <c r="I11" s="11"/>
      <c r="J11" s="11"/>
      <c r="K11" s="11"/>
      <c r="L11" s="11"/>
    </row>
    <row r="12" spans="1:12" x14ac:dyDescent="0.25">
      <c r="A12" s="11"/>
      <c r="B12" s="11"/>
      <c r="C12" s="11"/>
      <c r="D12" s="11"/>
      <c r="E12" s="11"/>
      <c r="F12" s="11"/>
      <c r="G12" s="11"/>
      <c r="H12" s="11"/>
      <c r="I12" s="11"/>
      <c r="J12" s="11"/>
      <c r="K12" s="11"/>
      <c r="L12" s="11"/>
    </row>
    <row r="13" spans="1:12" x14ac:dyDescent="0.25">
      <c r="A13" s="11"/>
      <c r="B13" s="11"/>
      <c r="C13" s="11"/>
      <c r="D13" s="11"/>
      <c r="E13" s="11"/>
      <c r="F13" s="11"/>
      <c r="G13" s="11"/>
      <c r="H13" s="11"/>
      <c r="I13" s="11"/>
      <c r="J13" s="11"/>
      <c r="K13" s="11"/>
      <c r="L13" s="11"/>
    </row>
    <row r="14" spans="1:12" ht="15.75" x14ac:dyDescent="0.25">
      <c r="A14" s="218" t="s">
        <v>1117</v>
      </c>
      <c r="B14" s="219"/>
      <c r="C14" s="219"/>
      <c r="D14" s="219"/>
      <c r="E14" s="219"/>
      <c r="F14" s="219"/>
      <c r="G14" s="219"/>
      <c r="H14" s="219"/>
      <c r="I14" s="219"/>
      <c r="J14" s="219"/>
      <c r="K14" s="219"/>
      <c r="L14" s="220"/>
    </row>
    <row r="15" spans="1:12" ht="15.75" x14ac:dyDescent="0.25">
      <c r="A15" s="221" t="s">
        <v>1004</v>
      </c>
      <c r="B15" s="222"/>
      <c r="C15" s="222"/>
      <c r="D15" s="144"/>
      <c r="E15" s="144"/>
      <c r="F15" s="144"/>
      <c r="G15" s="144"/>
      <c r="H15" s="144"/>
      <c r="I15" s="222" t="s">
        <v>1005</v>
      </c>
      <c r="J15" s="222"/>
      <c r="K15" s="222"/>
      <c r="L15" s="223"/>
    </row>
    <row r="16" spans="1:12" ht="45" x14ac:dyDescent="0.25">
      <c r="A16" s="17" t="s">
        <v>0</v>
      </c>
      <c r="B16" s="17" t="s">
        <v>1</v>
      </c>
      <c r="C16" s="17" t="s">
        <v>2</v>
      </c>
      <c r="D16" s="17" t="s">
        <v>3</v>
      </c>
      <c r="E16" s="17" t="s">
        <v>4</v>
      </c>
      <c r="F16" s="17" t="s">
        <v>352</v>
      </c>
      <c r="G16" s="145" t="s">
        <v>9</v>
      </c>
      <c r="H16" s="17" t="s">
        <v>6</v>
      </c>
      <c r="I16" s="17" t="s">
        <v>7</v>
      </c>
      <c r="J16" s="17" t="s">
        <v>926</v>
      </c>
      <c r="K16" s="17" t="s">
        <v>8</v>
      </c>
      <c r="L16" s="17" t="s">
        <v>10</v>
      </c>
    </row>
    <row r="17" spans="1:12" ht="36" x14ac:dyDescent="0.25">
      <c r="A17" s="40">
        <v>1</v>
      </c>
      <c r="B17" s="40" t="s">
        <v>1006</v>
      </c>
      <c r="C17" s="40" t="s">
        <v>930</v>
      </c>
      <c r="D17" s="40">
        <v>1</v>
      </c>
      <c r="E17" s="40" t="s">
        <v>12</v>
      </c>
      <c r="F17" s="66">
        <v>1100000000</v>
      </c>
      <c r="G17" s="66">
        <f>D17*F17</f>
        <v>1100000000</v>
      </c>
      <c r="H17" s="40" t="s">
        <v>835</v>
      </c>
      <c r="I17" s="40" t="s">
        <v>836</v>
      </c>
      <c r="J17" s="119" t="s">
        <v>932</v>
      </c>
      <c r="K17" s="40" t="s">
        <v>71</v>
      </c>
      <c r="L17" s="40" t="s">
        <v>1013</v>
      </c>
    </row>
    <row r="18" spans="1:12" x14ac:dyDescent="0.25">
      <c r="A18" s="11"/>
      <c r="B18" s="11"/>
      <c r="C18" s="11"/>
      <c r="D18" s="11"/>
      <c r="E18" s="11"/>
      <c r="F18" s="11"/>
      <c r="G18" s="11"/>
      <c r="H18" s="11"/>
      <c r="I18" s="11"/>
      <c r="J18" s="11"/>
      <c r="K18" s="11"/>
      <c r="L18" s="11"/>
    </row>
    <row r="19" spans="1:12" x14ac:dyDescent="0.25">
      <c r="A19" s="11"/>
      <c r="B19" s="11"/>
      <c r="C19" s="11"/>
      <c r="D19" s="11"/>
      <c r="E19" s="11"/>
      <c r="F19" s="11"/>
      <c r="G19" s="11"/>
      <c r="H19" s="11"/>
      <c r="I19" s="11"/>
      <c r="J19" s="11"/>
      <c r="K19" s="11"/>
      <c r="L19" s="11"/>
    </row>
    <row r="20" spans="1:12" ht="15.75" x14ac:dyDescent="0.25">
      <c r="A20" s="218" t="s">
        <v>1129</v>
      </c>
      <c r="B20" s="219"/>
      <c r="C20" s="219"/>
      <c r="D20" s="219"/>
      <c r="E20" s="219"/>
      <c r="F20" s="219"/>
      <c r="G20" s="219"/>
      <c r="H20" s="219"/>
      <c r="I20" s="219"/>
      <c r="J20" s="219"/>
      <c r="K20" s="219"/>
      <c r="L20" s="220"/>
    </row>
    <row r="21" spans="1:12" ht="15.75" x14ac:dyDescent="0.25">
      <c r="A21" s="221" t="s">
        <v>1007</v>
      </c>
      <c r="B21" s="222"/>
      <c r="C21" s="222"/>
      <c r="D21" s="144"/>
      <c r="E21" s="144"/>
      <c r="F21" s="144"/>
      <c r="G21" s="144"/>
      <c r="H21" s="144"/>
      <c r="I21" s="222" t="s">
        <v>1008</v>
      </c>
      <c r="J21" s="222"/>
      <c r="K21" s="222"/>
      <c r="L21" s="223"/>
    </row>
    <row r="22" spans="1:12" ht="45" x14ac:dyDescent="0.25">
      <c r="A22" s="17" t="s">
        <v>0</v>
      </c>
      <c r="B22" s="17" t="s">
        <v>1</v>
      </c>
      <c r="C22" s="17" t="s">
        <v>2</v>
      </c>
      <c r="D22" s="17" t="s">
        <v>3</v>
      </c>
      <c r="E22" s="17" t="s">
        <v>4</v>
      </c>
      <c r="F22" s="17" t="s">
        <v>352</v>
      </c>
      <c r="G22" s="145" t="s">
        <v>9</v>
      </c>
      <c r="H22" s="17" t="s">
        <v>6</v>
      </c>
      <c r="I22" s="17" t="s">
        <v>7</v>
      </c>
      <c r="J22" s="17" t="s">
        <v>926</v>
      </c>
      <c r="K22" s="17" t="s">
        <v>8</v>
      </c>
      <c r="L22" s="17" t="s">
        <v>10</v>
      </c>
    </row>
    <row r="23" spans="1:12" ht="36" x14ac:dyDescent="0.25">
      <c r="A23" s="40">
        <v>1</v>
      </c>
      <c r="B23" s="40" t="s">
        <v>1009</v>
      </c>
      <c r="C23" s="40" t="s">
        <v>930</v>
      </c>
      <c r="D23" s="40">
        <v>1</v>
      </c>
      <c r="E23" s="40" t="s">
        <v>12</v>
      </c>
      <c r="F23" s="66">
        <v>15000000</v>
      </c>
      <c r="G23" s="66">
        <f>D23*F23</f>
        <v>15000000</v>
      </c>
      <c r="H23" s="40" t="s">
        <v>835</v>
      </c>
      <c r="I23" s="40" t="s">
        <v>836</v>
      </c>
      <c r="J23" s="119" t="s">
        <v>932</v>
      </c>
      <c r="K23" s="40" t="s">
        <v>71</v>
      </c>
      <c r="L23" s="51" t="s">
        <v>1014</v>
      </c>
    </row>
    <row r="24" spans="1:12" x14ac:dyDescent="0.25">
      <c r="A24" s="11"/>
      <c r="B24" s="11"/>
      <c r="C24" s="11"/>
      <c r="D24" s="11"/>
      <c r="E24" s="11"/>
      <c r="F24" s="11"/>
      <c r="G24" s="11"/>
      <c r="H24" s="11"/>
      <c r="I24" s="11"/>
      <c r="J24" s="11"/>
      <c r="K24" s="11"/>
      <c r="L24" s="11"/>
    </row>
    <row r="25" spans="1:12" x14ac:dyDescent="0.25">
      <c r="A25" s="11"/>
      <c r="B25" s="11"/>
      <c r="C25" s="11"/>
      <c r="D25" s="11"/>
      <c r="E25" s="11"/>
      <c r="F25" s="11"/>
      <c r="G25" s="11"/>
      <c r="H25" s="11"/>
      <c r="I25" s="11"/>
      <c r="J25" s="11"/>
      <c r="K25" s="11"/>
      <c r="L25" s="11"/>
    </row>
    <row r="26" spans="1:12" ht="15.75" x14ac:dyDescent="0.25">
      <c r="A26" s="218" t="s">
        <v>1145</v>
      </c>
      <c r="B26" s="219"/>
      <c r="C26" s="219"/>
      <c r="D26" s="219"/>
      <c r="E26" s="219"/>
      <c r="F26" s="219"/>
      <c r="G26" s="219"/>
      <c r="H26" s="219"/>
      <c r="I26" s="219"/>
      <c r="J26" s="219"/>
      <c r="K26" s="219"/>
      <c r="L26" s="220"/>
    </row>
    <row r="27" spans="1:12" ht="15.75" x14ac:dyDescent="0.25">
      <c r="A27" s="221" t="s">
        <v>1010</v>
      </c>
      <c r="B27" s="222"/>
      <c r="C27" s="222"/>
      <c r="D27" s="144"/>
      <c r="E27" s="144"/>
      <c r="F27" s="144"/>
      <c r="G27" s="144"/>
      <c r="H27" s="144"/>
      <c r="I27" s="222" t="s">
        <v>1011</v>
      </c>
      <c r="J27" s="222"/>
      <c r="K27" s="222"/>
      <c r="L27" s="223"/>
    </row>
    <row r="28" spans="1:12" ht="45" x14ac:dyDescent="0.25">
      <c r="A28" s="17" t="s">
        <v>0</v>
      </c>
      <c r="B28" s="17" t="s">
        <v>1</v>
      </c>
      <c r="C28" s="17" t="s">
        <v>2</v>
      </c>
      <c r="D28" s="17" t="s">
        <v>3</v>
      </c>
      <c r="E28" s="17" t="s">
        <v>4</v>
      </c>
      <c r="F28" s="17" t="s">
        <v>352</v>
      </c>
      <c r="G28" s="145" t="s">
        <v>9</v>
      </c>
      <c r="H28" s="17" t="s">
        <v>6</v>
      </c>
      <c r="I28" s="17" t="s">
        <v>7</v>
      </c>
      <c r="J28" s="17" t="s">
        <v>926</v>
      </c>
      <c r="K28" s="17" t="s">
        <v>8</v>
      </c>
      <c r="L28" s="17" t="s">
        <v>10</v>
      </c>
    </row>
    <row r="29" spans="1:12" ht="36" x14ac:dyDescent="0.25">
      <c r="A29" s="156">
        <v>1</v>
      </c>
      <c r="B29" s="156" t="s">
        <v>1012</v>
      </c>
      <c r="C29" s="178" t="s">
        <v>930</v>
      </c>
      <c r="D29" s="156">
        <v>1</v>
      </c>
      <c r="E29" s="156" t="s">
        <v>12</v>
      </c>
      <c r="F29" s="157">
        <v>800000</v>
      </c>
      <c r="G29" s="157">
        <f>D29*F29</f>
        <v>800000</v>
      </c>
      <c r="H29" s="156" t="s">
        <v>835</v>
      </c>
      <c r="I29" s="156" t="s">
        <v>836</v>
      </c>
      <c r="J29" s="158" t="s">
        <v>927</v>
      </c>
      <c r="K29" s="156" t="s">
        <v>71</v>
      </c>
      <c r="L29" s="156" t="s">
        <v>1015</v>
      </c>
    </row>
    <row r="30" spans="1:12" ht="36" x14ac:dyDescent="0.25">
      <c r="A30" s="56">
        <v>2</v>
      </c>
      <c r="B30" s="51" t="s">
        <v>1162</v>
      </c>
      <c r="C30" s="40" t="s">
        <v>930</v>
      </c>
      <c r="D30" s="40">
        <v>1</v>
      </c>
      <c r="E30" s="40" t="s">
        <v>12</v>
      </c>
      <c r="F30" s="66">
        <f>36225000-800000</f>
        <v>35425000</v>
      </c>
      <c r="G30" s="66">
        <f>D30*F30</f>
        <v>35425000</v>
      </c>
      <c r="H30" s="40" t="s">
        <v>835</v>
      </c>
      <c r="I30" s="40" t="s">
        <v>836</v>
      </c>
      <c r="J30" s="138" t="s">
        <v>927</v>
      </c>
      <c r="K30" s="40" t="s">
        <v>71</v>
      </c>
      <c r="L30" s="51" t="s">
        <v>919</v>
      </c>
    </row>
    <row r="31" spans="1:12" x14ac:dyDescent="0.25">
      <c r="A31" s="11"/>
      <c r="B31" s="11"/>
      <c r="C31" s="11"/>
      <c r="D31" s="11"/>
      <c r="E31" s="11"/>
      <c r="F31" s="11"/>
      <c r="G31" s="11"/>
      <c r="H31" s="11"/>
      <c r="I31" s="11"/>
      <c r="J31" s="11"/>
      <c r="K31" s="11"/>
      <c r="L31" s="11"/>
    </row>
    <row r="32" spans="1:12" x14ac:dyDescent="0.25">
      <c r="A32" s="11"/>
      <c r="B32" s="11"/>
      <c r="C32" s="11"/>
      <c r="D32" s="11"/>
      <c r="E32" s="11"/>
      <c r="F32" s="11"/>
      <c r="G32" s="11"/>
      <c r="H32" s="11"/>
      <c r="I32" s="11"/>
      <c r="J32" s="11"/>
      <c r="K32" s="11"/>
      <c r="L32" s="11"/>
    </row>
    <row r="33" spans="1:12" ht="15.75" x14ac:dyDescent="0.25">
      <c r="A33" s="218" t="s">
        <v>1114</v>
      </c>
      <c r="B33" s="219"/>
      <c r="C33" s="219"/>
      <c r="D33" s="219"/>
      <c r="E33" s="219"/>
      <c r="F33" s="219"/>
      <c r="G33" s="219"/>
      <c r="H33" s="219"/>
      <c r="I33" s="219"/>
      <c r="J33" s="219"/>
      <c r="K33" s="219"/>
      <c r="L33" s="220"/>
    </row>
    <row r="34" spans="1:12" ht="15.75" x14ac:dyDescent="0.25">
      <c r="A34" s="221" t="s">
        <v>1016</v>
      </c>
      <c r="B34" s="222"/>
      <c r="C34" s="222"/>
      <c r="D34" s="144"/>
      <c r="E34" s="144"/>
      <c r="F34" s="144"/>
      <c r="G34" s="144"/>
      <c r="H34" s="144"/>
      <c r="I34" s="222" t="s">
        <v>1017</v>
      </c>
      <c r="J34" s="222"/>
      <c r="K34" s="222"/>
      <c r="L34" s="223"/>
    </row>
    <row r="35" spans="1:12" ht="45" x14ac:dyDescent="0.25">
      <c r="A35" s="17" t="s">
        <v>0</v>
      </c>
      <c r="B35" s="17" t="s">
        <v>1</v>
      </c>
      <c r="C35" s="17" t="s">
        <v>2</v>
      </c>
      <c r="D35" s="17" t="s">
        <v>3</v>
      </c>
      <c r="E35" s="17" t="s">
        <v>4</v>
      </c>
      <c r="F35" s="17" t="s">
        <v>352</v>
      </c>
      <c r="G35" s="145" t="s">
        <v>9</v>
      </c>
      <c r="H35" s="17" t="s">
        <v>6</v>
      </c>
      <c r="I35" s="17" t="s">
        <v>7</v>
      </c>
      <c r="J35" s="17" t="s">
        <v>926</v>
      </c>
      <c r="K35" s="17" t="s">
        <v>8</v>
      </c>
      <c r="L35" s="17" t="s">
        <v>10</v>
      </c>
    </row>
    <row r="36" spans="1:12" ht="24" x14ac:dyDescent="0.25">
      <c r="A36" s="56">
        <v>1</v>
      </c>
      <c r="B36" s="40" t="s">
        <v>1021</v>
      </c>
      <c r="C36" s="40" t="s">
        <v>930</v>
      </c>
      <c r="D36" s="40">
        <v>1</v>
      </c>
      <c r="E36" s="40" t="s">
        <v>12</v>
      </c>
      <c r="F36" s="66">
        <v>350000000</v>
      </c>
      <c r="G36" s="66">
        <f>D36*F36</f>
        <v>350000000</v>
      </c>
      <c r="H36" s="40" t="s">
        <v>1018</v>
      </c>
      <c r="I36" s="40" t="s">
        <v>836</v>
      </c>
      <c r="J36" s="138" t="s">
        <v>927</v>
      </c>
      <c r="K36" s="40" t="s">
        <v>71</v>
      </c>
      <c r="L36" s="40" t="s">
        <v>919</v>
      </c>
    </row>
    <row r="37" spans="1:12" x14ac:dyDescent="0.25">
      <c r="A37" s="11"/>
      <c r="B37" s="11"/>
      <c r="C37" s="11"/>
      <c r="D37" s="11"/>
      <c r="E37" s="11"/>
      <c r="F37" s="11"/>
      <c r="G37" s="11"/>
      <c r="H37" s="11"/>
      <c r="I37" s="11"/>
      <c r="J37" s="11"/>
      <c r="K37" s="11"/>
      <c r="L37" s="11"/>
    </row>
    <row r="38" spans="1:12" x14ac:dyDescent="0.25">
      <c r="A38" s="11"/>
      <c r="B38" s="11"/>
      <c r="C38" s="11"/>
      <c r="D38" s="11"/>
      <c r="E38" s="11"/>
      <c r="F38" s="11"/>
      <c r="G38" s="11"/>
      <c r="H38" s="11"/>
      <c r="I38" s="11"/>
      <c r="J38" s="11"/>
      <c r="K38" s="11"/>
      <c r="L38" s="11"/>
    </row>
    <row r="39" spans="1:12" x14ac:dyDescent="0.25">
      <c r="A39" s="11"/>
      <c r="B39" s="11"/>
      <c r="C39" s="11"/>
      <c r="D39" s="11"/>
      <c r="E39" s="11"/>
      <c r="F39" s="11"/>
      <c r="G39" s="11"/>
      <c r="H39" s="11"/>
      <c r="I39" s="11"/>
      <c r="J39" s="11"/>
      <c r="K39" s="11"/>
      <c r="L39" s="11"/>
    </row>
    <row r="40" spans="1:12" ht="15.75" x14ac:dyDescent="0.25">
      <c r="A40" s="218" t="s">
        <v>1115</v>
      </c>
      <c r="B40" s="219"/>
      <c r="C40" s="219"/>
      <c r="D40" s="219"/>
      <c r="E40" s="219"/>
      <c r="F40" s="219"/>
      <c r="G40" s="219"/>
      <c r="H40" s="219"/>
      <c r="I40" s="219"/>
      <c r="J40" s="219"/>
      <c r="K40" s="219"/>
      <c r="L40" s="220"/>
    </row>
    <row r="41" spans="1:12" ht="15.75" x14ac:dyDescent="0.25">
      <c r="A41" s="221" t="s">
        <v>1019</v>
      </c>
      <c r="B41" s="222"/>
      <c r="C41" s="222"/>
      <c r="D41" s="144"/>
      <c r="E41" s="144"/>
      <c r="F41" s="144"/>
      <c r="G41" s="144"/>
      <c r="H41" s="144"/>
      <c r="I41" s="222" t="s">
        <v>996</v>
      </c>
      <c r="J41" s="222"/>
      <c r="K41" s="222"/>
      <c r="L41" s="223"/>
    </row>
    <row r="42" spans="1:12" ht="45" x14ac:dyDescent="0.25">
      <c r="A42" s="17" t="s">
        <v>0</v>
      </c>
      <c r="B42" s="17" t="s">
        <v>1</v>
      </c>
      <c r="C42" s="17" t="s">
        <v>2</v>
      </c>
      <c r="D42" s="17" t="s">
        <v>3</v>
      </c>
      <c r="E42" s="17" t="s">
        <v>4</v>
      </c>
      <c r="F42" s="17" t="s">
        <v>352</v>
      </c>
      <c r="G42" s="145" t="s">
        <v>9</v>
      </c>
      <c r="H42" s="17" t="s">
        <v>6</v>
      </c>
      <c r="I42" s="17" t="s">
        <v>7</v>
      </c>
      <c r="J42" s="17" t="s">
        <v>926</v>
      </c>
      <c r="K42" s="17" t="s">
        <v>8</v>
      </c>
      <c r="L42" s="17" t="s">
        <v>10</v>
      </c>
    </row>
    <row r="43" spans="1:12" ht="24" x14ac:dyDescent="0.25">
      <c r="A43" s="56">
        <v>1</v>
      </c>
      <c r="B43" s="40" t="s">
        <v>1020</v>
      </c>
      <c r="C43" s="40" t="s">
        <v>930</v>
      </c>
      <c r="D43" s="40">
        <v>1</v>
      </c>
      <c r="E43" s="40" t="s">
        <v>12</v>
      </c>
      <c r="F43" s="66">
        <v>100000000</v>
      </c>
      <c r="G43" s="66">
        <f>D43*F43</f>
        <v>100000000</v>
      </c>
      <c r="H43" s="40" t="s">
        <v>1018</v>
      </c>
      <c r="I43" s="40" t="s">
        <v>836</v>
      </c>
      <c r="J43" s="119" t="s">
        <v>932</v>
      </c>
      <c r="K43" s="40" t="s">
        <v>71</v>
      </c>
      <c r="L43" s="40" t="s">
        <v>919</v>
      </c>
    </row>
  </sheetData>
  <mergeCells count="21">
    <mergeCell ref="A1:L1"/>
    <mergeCell ref="A2:C2"/>
    <mergeCell ref="I2:L2"/>
    <mergeCell ref="A7:L7"/>
    <mergeCell ref="A8:C8"/>
    <mergeCell ref="I8:L8"/>
    <mergeCell ref="A14:L14"/>
    <mergeCell ref="A15:C15"/>
    <mergeCell ref="I15:L15"/>
    <mergeCell ref="A20:L20"/>
    <mergeCell ref="A21:C21"/>
    <mergeCell ref="I21:L21"/>
    <mergeCell ref="A40:L40"/>
    <mergeCell ref="A41:C41"/>
    <mergeCell ref="I41:L41"/>
    <mergeCell ref="A26:L26"/>
    <mergeCell ref="A27:C27"/>
    <mergeCell ref="I27:L27"/>
    <mergeCell ref="A33:L33"/>
    <mergeCell ref="A34:C34"/>
    <mergeCell ref="I34:L3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
  <sheetViews>
    <sheetView workbookViewId="0">
      <selection activeCell="F5" sqref="F5"/>
    </sheetView>
  </sheetViews>
  <sheetFormatPr baseColWidth="10" defaultRowHeight="15" x14ac:dyDescent="0.25"/>
  <cols>
    <col min="1" max="1" width="5.85546875" customWidth="1"/>
    <col min="2" max="2" width="19.85546875" customWidth="1"/>
    <col min="3" max="3" width="18.28515625" customWidth="1"/>
    <col min="4" max="4" width="6.85546875" customWidth="1"/>
    <col min="5" max="5" width="6.5703125" customWidth="1"/>
    <col min="6" max="6" width="10.5703125" customWidth="1"/>
    <col min="9" max="9" width="7.85546875" customWidth="1"/>
    <col min="11" max="11" width="9.7109375" customWidth="1"/>
    <col min="12" max="12" width="12.7109375" customWidth="1"/>
  </cols>
  <sheetData>
    <row r="2" spans="1:12" ht="15.75" x14ac:dyDescent="0.25">
      <c r="A2" s="229" t="s">
        <v>1116</v>
      </c>
      <c r="B2" s="230"/>
      <c r="C2" s="230"/>
      <c r="D2" s="230"/>
      <c r="E2" s="230"/>
      <c r="F2" s="230"/>
      <c r="G2" s="230"/>
      <c r="H2" s="230"/>
      <c r="I2" s="230"/>
      <c r="J2" s="230"/>
      <c r="K2" s="230"/>
      <c r="L2" s="231"/>
    </row>
    <row r="3" spans="1:12" ht="15.75" x14ac:dyDescent="0.25">
      <c r="A3" s="232" t="s">
        <v>1079</v>
      </c>
      <c r="B3" s="232"/>
      <c r="C3" s="232"/>
      <c r="D3" s="97"/>
      <c r="E3" s="97"/>
      <c r="F3" s="97"/>
      <c r="G3" s="97"/>
      <c r="H3" s="97"/>
      <c r="I3" s="232" t="s">
        <v>1022</v>
      </c>
      <c r="J3" s="232"/>
      <c r="K3" s="232"/>
      <c r="L3" s="232"/>
    </row>
    <row r="4" spans="1:12" ht="45" x14ac:dyDescent="0.25">
      <c r="A4" s="42" t="s">
        <v>0</v>
      </c>
      <c r="B4" s="42" t="s">
        <v>1</v>
      </c>
      <c r="C4" s="43" t="s">
        <v>2</v>
      </c>
      <c r="D4" s="42" t="s">
        <v>3</v>
      </c>
      <c r="E4" s="42" t="s">
        <v>4</v>
      </c>
      <c r="F4" s="42" t="s">
        <v>352</v>
      </c>
      <c r="G4" s="42" t="s">
        <v>9</v>
      </c>
      <c r="H4" s="42" t="s">
        <v>6</v>
      </c>
      <c r="I4" s="42" t="s">
        <v>7</v>
      </c>
      <c r="J4" s="42" t="s">
        <v>926</v>
      </c>
      <c r="K4" s="42" t="s">
        <v>8</v>
      </c>
      <c r="L4" s="42" t="s">
        <v>10</v>
      </c>
    </row>
    <row r="5" spans="1:12" ht="72" x14ac:dyDescent="0.25">
      <c r="A5" s="51">
        <v>1</v>
      </c>
      <c r="B5" s="51" t="s">
        <v>1078</v>
      </c>
      <c r="C5" s="51" t="s">
        <v>1024</v>
      </c>
      <c r="D5" s="51">
        <v>1</v>
      </c>
      <c r="E5" s="51" t="s">
        <v>12</v>
      </c>
      <c r="F5" s="64">
        <v>46575000</v>
      </c>
      <c r="G5" s="64">
        <f>D5*F5</f>
        <v>46575000</v>
      </c>
      <c r="H5" s="51" t="s">
        <v>835</v>
      </c>
      <c r="I5" s="51" t="s">
        <v>836</v>
      </c>
      <c r="J5" s="94" t="s">
        <v>979</v>
      </c>
      <c r="K5" s="51" t="s">
        <v>71</v>
      </c>
      <c r="L5" s="51" t="s">
        <v>1025</v>
      </c>
    </row>
  </sheetData>
  <mergeCells count="3">
    <mergeCell ref="A2:L2"/>
    <mergeCell ref="A3:C3"/>
    <mergeCell ref="I3:L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9"/>
  <sheetViews>
    <sheetView workbookViewId="0">
      <selection activeCell="G17" sqref="G17"/>
    </sheetView>
  </sheetViews>
  <sheetFormatPr baseColWidth="10" defaultRowHeight="15" x14ac:dyDescent="0.25"/>
  <cols>
    <col min="1" max="1" width="5.5703125" customWidth="1"/>
    <col min="2" max="2" width="22.5703125" customWidth="1"/>
    <col min="3" max="3" width="16" customWidth="1"/>
    <col min="4" max="4" width="6.42578125" customWidth="1"/>
    <col min="5" max="5" width="6" customWidth="1"/>
    <col min="6" max="6" width="13.28515625" customWidth="1"/>
    <col min="7" max="7" width="11.85546875" customWidth="1"/>
    <col min="12" max="12" width="15.7109375" customWidth="1"/>
  </cols>
  <sheetData>
    <row r="2" spans="1:12" ht="15.75" x14ac:dyDescent="0.25">
      <c r="A2" s="229" t="s">
        <v>1118</v>
      </c>
      <c r="B2" s="230"/>
      <c r="C2" s="230"/>
      <c r="D2" s="230"/>
      <c r="E2" s="230"/>
      <c r="F2" s="230"/>
      <c r="G2" s="230"/>
      <c r="H2" s="230"/>
      <c r="I2" s="230"/>
      <c r="J2" s="230"/>
      <c r="K2" s="230"/>
      <c r="L2" s="231"/>
    </row>
    <row r="3" spans="1:12" ht="15.75" x14ac:dyDescent="0.25">
      <c r="A3" s="232" t="s">
        <v>837</v>
      </c>
      <c r="B3" s="232"/>
      <c r="C3" s="232"/>
      <c r="D3" s="97"/>
      <c r="E3" s="97"/>
      <c r="F3" s="97"/>
      <c r="G3" s="97"/>
      <c r="H3" s="97"/>
      <c r="I3" s="232" t="s">
        <v>1023</v>
      </c>
      <c r="J3" s="232"/>
      <c r="K3" s="232"/>
      <c r="L3" s="232"/>
    </row>
    <row r="4" spans="1:12" ht="45" x14ac:dyDescent="0.25">
      <c r="A4" s="42" t="s">
        <v>0</v>
      </c>
      <c r="B4" s="42" t="s">
        <v>1</v>
      </c>
      <c r="C4" s="43" t="s">
        <v>2</v>
      </c>
      <c r="D4" s="42" t="s">
        <v>3</v>
      </c>
      <c r="E4" s="42" t="s">
        <v>4</v>
      </c>
      <c r="F4" s="42" t="s">
        <v>352</v>
      </c>
      <c r="G4" s="42" t="s">
        <v>9</v>
      </c>
      <c r="H4" s="42" t="s">
        <v>6</v>
      </c>
      <c r="I4" s="42" t="s">
        <v>7</v>
      </c>
      <c r="J4" s="42" t="s">
        <v>926</v>
      </c>
      <c r="K4" s="42" t="s">
        <v>8</v>
      </c>
      <c r="L4" s="42" t="s">
        <v>10</v>
      </c>
    </row>
    <row r="5" spans="1:12" ht="84" x14ac:dyDescent="0.25">
      <c r="A5" s="40">
        <v>1</v>
      </c>
      <c r="B5" s="40" t="s">
        <v>1026</v>
      </c>
      <c r="C5" s="40" t="s">
        <v>1035</v>
      </c>
      <c r="D5" s="40">
        <v>1</v>
      </c>
      <c r="E5" s="40" t="s">
        <v>12</v>
      </c>
      <c r="F5" s="66">
        <v>5000000</v>
      </c>
      <c r="G5" s="113">
        <f>D5*F5</f>
        <v>5000000</v>
      </c>
      <c r="H5" s="40" t="s">
        <v>320</v>
      </c>
      <c r="I5" s="40" t="s">
        <v>1027</v>
      </c>
      <c r="J5" s="138" t="s">
        <v>927</v>
      </c>
      <c r="K5" s="40" t="s">
        <v>71</v>
      </c>
      <c r="L5" s="40" t="s">
        <v>1028</v>
      </c>
    </row>
    <row r="6" spans="1:12" ht="48" x14ac:dyDescent="0.25">
      <c r="A6" s="40">
        <v>2</v>
      </c>
      <c r="B6" s="40" t="s">
        <v>1029</v>
      </c>
      <c r="C6" s="40" t="s">
        <v>1035</v>
      </c>
      <c r="D6" s="40">
        <v>1</v>
      </c>
      <c r="E6" s="40" t="s">
        <v>12</v>
      </c>
      <c r="F6" s="66">
        <v>9000000</v>
      </c>
      <c r="G6" s="113">
        <f t="shared" ref="G6:G15" si="0">D6*F6</f>
        <v>9000000</v>
      </c>
      <c r="H6" s="40" t="s">
        <v>320</v>
      </c>
      <c r="I6" s="40" t="s">
        <v>1027</v>
      </c>
      <c r="J6" s="138" t="s">
        <v>927</v>
      </c>
      <c r="K6" s="40" t="s">
        <v>71</v>
      </c>
      <c r="L6" s="40" t="s">
        <v>1028</v>
      </c>
    </row>
    <row r="7" spans="1:12" ht="72" x14ac:dyDescent="0.25">
      <c r="A7" s="40">
        <v>3</v>
      </c>
      <c r="B7" s="40" t="s">
        <v>1030</v>
      </c>
      <c r="C7" s="40" t="s">
        <v>1035</v>
      </c>
      <c r="D7" s="40">
        <v>1</v>
      </c>
      <c r="E7" s="40" t="s">
        <v>12</v>
      </c>
      <c r="F7" s="66">
        <v>40000000</v>
      </c>
      <c r="G7" s="113">
        <v>15000000</v>
      </c>
      <c r="H7" s="40" t="s">
        <v>934</v>
      </c>
      <c r="I7" s="40" t="s">
        <v>1027</v>
      </c>
      <c r="J7" s="138" t="s">
        <v>927</v>
      </c>
      <c r="K7" s="40" t="s">
        <v>71</v>
      </c>
      <c r="L7" s="40" t="s">
        <v>1028</v>
      </c>
    </row>
    <row r="8" spans="1:12" ht="60" x14ac:dyDescent="0.25">
      <c r="A8" s="40">
        <v>4</v>
      </c>
      <c r="B8" s="40" t="s">
        <v>1033</v>
      </c>
      <c r="C8" s="40" t="s">
        <v>1035</v>
      </c>
      <c r="D8" s="40">
        <v>1</v>
      </c>
      <c r="E8" s="40" t="s">
        <v>12</v>
      </c>
      <c r="F8" s="66">
        <v>29000000</v>
      </c>
      <c r="G8" s="113">
        <v>19000000</v>
      </c>
      <c r="H8" s="40" t="s">
        <v>934</v>
      </c>
      <c r="I8" s="40" t="s">
        <v>1027</v>
      </c>
      <c r="J8" s="138" t="s">
        <v>927</v>
      </c>
      <c r="K8" s="40" t="s">
        <v>71</v>
      </c>
      <c r="L8" s="40" t="s">
        <v>1028</v>
      </c>
    </row>
    <row r="9" spans="1:12" ht="72" x14ac:dyDescent="0.25">
      <c r="A9" s="40">
        <v>5</v>
      </c>
      <c r="B9" s="40" t="s">
        <v>1031</v>
      </c>
      <c r="C9" s="40" t="s">
        <v>1035</v>
      </c>
      <c r="D9" s="40">
        <v>1</v>
      </c>
      <c r="E9" s="40" t="s">
        <v>12</v>
      </c>
      <c r="F9" s="66">
        <v>6000000</v>
      </c>
      <c r="G9" s="113">
        <f t="shared" si="0"/>
        <v>6000000</v>
      </c>
      <c r="H9" s="40" t="s">
        <v>934</v>
      </c>
      <c r="I9" s="40" t="s">
        <v>1027</v>
      </c>
      <c r="J9" s="138" t="s">
        <v>927</v>
      </c>
      <c r="K9" s="40" t="s">
        <v>71</v>
      </c>
      <c r="L9" s="40" t="s">
        <v>1014</v>
      </c>
    </row>
    <row r="10" spans="1:12" ht="84" x14ac:dyDescent="0.25">
      <c r="A10" s="40">
        <v>6</v>
      </c>
      <c r="B10" s="40" t="s">
        <v>1032</v>
      </c>
      <c r="C10" s="40" t="s">
        <v>1035</v>
      </c>
      <c r="D10" s="40">
        <v>1</v>
      </c>
      <c r="E10" s="40" t="s">
        <v>12</v>
      </c>
      <c r="F10" s="66">
        <v>20000000</v>
      </c>
      <c r="G10" s="113">
        <f t="shared" si="0"/>
        <v>20000000</v>
      </c>
      <c r="H10" s="40" t="s">
        <v>934</v>
      </c>
      <c r="I10" s="40" t="s">
        <v>1027</v>
      </c>
      <c r="J10" s="138" t="s">
        <v>927</v>
      </c>
      <c r="K10" s="40" t="s">
        <v>71</v>
      </c>
      <c r="L10" s="40" t="s">
        <v>1014</v>
      </c>
    </row>
    <row r="11" spans="1:12" ht="96" x14ac:dyDescent="0.25">
      <c r="A11" s="40">
        <v>7</v>
      </c>
      <c r="B11" s="40" t="s">
        <v>1034</v>
      </c>
      <c r="C11" s="40" t="s">
        <v>1035</v>
      </c>
      <c r="D11" s="40">
        <v>1</v>
      </c>
      <c r="E11" s="40" t="s">
        <v>12</v>
      </c>
      <c r="F11" s="66">
        <v>12000000</v>
      </c>
      <c r="G11" s="113">
        <f t="shared" si="0"/>
        <v>12000000</v>
      </c>
      <c r="H11" s="40" t="s">
        <v>934</v>
      </c>
      <c r="I11" s="40" t="s">
        <v>1027</v>
      </c>
      <c r="J11" s="138" t="s">
        <v>927</v>
      </c>
      <c r="K11" s="40" t="s">
        <v>71</v>
      </c>
      <c r="L11" s="40" t="s">
        <v>1036</v>
      </c>
    </row>
    <row r="12" spans="1:12" ht="72" x14ac:dyDescent="0.25">
      <c r="A12" s="56">
        <v>8</v>
      </c>
      <c r="B12" s="40" t="s">
        <v>1037</v>
      </c>
      <c r="C12" s="40" t="s">
        <v>1035</v>
      </c>
      <c r="D12" s="40">
        <v>1</v>
      </c>
      <c r="E12" s="40" t="s">
        <v>12</v>
      </c>
      <c r="F12" s="66">
        <v>14000000</v>
      </c>
      <c r="G12" s="113">
        <f t="shared" si="0"/>
        <v>14000000</v>
      </c>
      <c r="H12" s="40" t="s">
        <v>934</v>
      </c>
      <c r="I12" s="40" t="s">
        <v>1027</v>
      </c>
      <c r="J12" s="138" t="s">
        <v>927</v>
      </c>
      <c r="K12" s="40" t="s">
        <v>71</v>
      </c>
      <c r="L12" s="40" t="s">
        <v>1038</v>
      </c>
    </row>
    <row r="13" spans="1:12" ht="120" x14ac:dyDescent="0.25">
      <c r="A13" s="56">
        <v>9</v>
      </c>
      <c r="B13" s="40" t="s">
        <v>1042</v>
      </c>
      <c r="C13" s="40" t="s">
        <v>1035</v>
      </c>
      <c r="D13" s="40">
        <v>1</v>
      </c>
      <c r="E13" s="40" t="s">
        <v>12</v>
      </c>
      <c r="F13" s="66">
        <v>15000000</v>
      </c>
      <c r="G13" s="113">
        <f t="shared" si="0"/>
        <v>15000000</v>
      </c>
      <c r="H13" s="40" t="s">
        <v>934</v>
      </c>
      <c r="I13" s="40" t="s">
        <v>1027</v>
      </c>
      <c r="J13" s="138" t="s">
        <v>927</v>
      </c>
      <c r="K13" s="40" t="s">
        <v>71</v>
      </c>
      <c r="L13" s="40" t="s">
        <v>1039</v>
      </c>
    </row>
    <row r="14" spans="1:12" ht="72" x14ac:dyDescent="0.25">
      <c r="A14" s="56">
        <v>10</v>
      </c>
      <c r="B14" s="40" t="s">
        <v>1040</v>
      </c>
      <c r="C14" s="40" t="s">
        <v>1035</v>
      </c>
      <c r="D14" s="40">
        <v>1</v>
      </c>
      <c r="E14" s="40" t="s">
        <v>12</v>
      </c>
      <c r="F14" s="159">
        <v>10000000</v>
      </c>
      <c r="G14" s="113">
        <f t="shared" si="0"/>
        <v>10000000</v>
      </c>
      <c r="H14" s="40" t="s">
        <v>934</v>
      </c>
      <c r="I14" s="40" t="s">
        <v>1027</v>
      </c>
      <c r="J14" s="138" t="s">
        <v>927</v>
      </c>
      <c r="K14" s="40" t="s">
        <v>71</v>
      </c>
      <c r="L14" s="40" t="s">
        <v>1039</v>
      </c>
    </row>
    <row r="15" spans="1:12" ht="36" x14ac:dyDescent="0.25">
      <c r="A15" s="56">
        <v>11</v>
      </c>
      <c r="B15" s="40" t="s">
        <v>1041</v>
      </c>
      <c r="C15" s="40" t="s">
        <v>1035</v>
      </c>
      <c r="D15" s="40">
        <v>1</v>
      </c>
      <c r="E15" s="40" t="s">
        <v>12</v>
      </c>
      <c r="F15" s="159">
        <v>2500000</v>
      </c>
      <c r="G15" s="113">
        <f t="shared" si="0"/>
        <v>2500000</v>
      </c>
      <c r="H15" s="40" t="s">
        <v>934</v>
      </c>
      <c r="I15" s="40" t="s">
        <v>1027</v>
      </c>
      <c r="J15" s="138" t="s">
        <v>927</v>
      </c>
      <c r="K15" s="40" t="s">
        <v>71</v>
      </c>
      <c r="L15" s="40" t="s">
        <v>1039</v>
      </c>
    </row>
    <row r="16" spans="1:12" ht="60" x14ac:dyDescent="0.25">
      <c r="A16" s="56">
        <v>12</v>
      </c>
      <c r="B16" s="40" t="s">
        <v>1043</v>
      </c>
      <c r="C16" s="40" t="s">
        <v>1044</v>
      </c>
      <c r="D16" s="40">
        <v>1</v>
      </c>
      <c r="E16" s="40" t="s">
        <v>12</v>
      </c>
      <c r="F16" s="159">
        <v>2500000</v>
      </c>
      <c r="G16" s="160">
        <v>22500000</v>
      </c>
      <c r="H16" s="40" t="s">
        <v>934</v>
      </c>
      <c r="I16" s="40" t="s">
        <v>1027</v>
      </c>
      <c r="J16" s="138" t="s">
        <v>927</v>
      </c>
      <c r="K16" s="40" t="s">
        <v>71</v>
      </c>
      <c r="L16" s="40" t="s">
        <v>1039</v>
      </c>
    </row>
    <row r="17" spans="1:12" x14ac:dyDescent="0.25">
      <c r="A17" s="11"/>
      <c r="B17" s="11"/>
      <c r="C17" s="11"/>
      <c r="D17" s="11"/>
      <c r="E17" s="11"/>
      <c r="F17" s="11"/>
      <c r="G17" s="239" t="s">
        <v>13</v>
      </c>
      <c r="H17" s="11"/>
      <c r="I17" s="11"/>
      <c r="J17" s="11"/>
      <c r="K17" s="11"/>
      <c r="L17" s="11"/>
    </row>
    <row r="29" spans="1:12" x14ac:dyDescent="0.25">
      <c r="G29" s="11"/>
    </row>
  </sheetData>
  <mergeCells count="3">
    <mergeCell ref="A2:L2"/>
    <mergeCell ref="A3:C3"/>
    <mergeCell ref="I3:L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5"/>
  <sheetViews>
    <sheetView topLeftCell="A76" workbookViewId="0">
      <selection activeCell="A82" sqref="A82:L85"/>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2.28515625" customWidth="1"/>
    <col min="7" max="7" width="12.85546875" customWidth="1"/>
    <col min="8" max="8" width="8.7109375" customWidth="1"/>
    <col min="9" max="9" width="8.5703125" customWidth="1"/>
    <col min="11" max="11" width="10.5703125" customWidth="1"/>
  </cols>
  <sheetData>
    <row r="1" spans="1:12" x14ac:dyDescent="0.25">
      <c r="A1" t="s">
        <v>13</v>
      </c>
    </row>
    <row r="2" spans="1:12" ht="15.75" x14ac:dyDescent="0.25">
      <c r="A2" s="229" t="s">
        <v>1130</v>
      </c>
      <c r="B2" s="230"/>
      <c r="C2" s="230"/>
      <c r="D2" s="230"/>
      <c r="E2" s="230"/>
      <c r="F2" s="230"/>
      <c r="G2" s="230"/>
      <c r="H2" s="230"/>
      <c r="I2" s="230"/>
      <c r="J2" s="230"/>
      <c r="K2" s="230"/>
      <c r="L2" s="231"/>
    </row>
    <row r="3" spans="1:12" ht="15.75" x14ac:dyDescent="0.25">
      <c r="A3" s="232" t="s">
        <v>1048</v>
      </c>
      <c r="B3" s="232"/>
      <c r="C3" s="232"/>
      <c r="D3" s="97"/>
      <c r="E3" s="97"/>
      <c r="F3" s="97"/>
      <c r="G3" s="97"/>
      <c r="H3" s="97"/>
      <c r="I3" s="232" t="s">
        <v>1049</v>
      </c>
      <c r="J3" s="232"/>
      <c r="K3" s="232"/>
      <c r="L3" s="232"/>
    </row>
    <row r="4" spans="1:12" ht="45" x14ac:dyDescent="0.25">
      <c r="A4" s="42" t="s">
        <v>0</v>
      </c>
      <c r="B4" s="42" t="s">
        <v>1</v>
      </c>
      <c r="C4" s="43" t="s">
        <v>2</v>
      </c>
      <c r="D4" s="42" t="s">
        <v>3</v>
      </c>
      <c r="E4" s="42" t="s">
        <v>4</v>
      </c>
      <c r="F4" s="42" t="s">
        <v>352</v>
      </c>
      <c r="G4" s="42" t="s">
        <v>9</v>
      </c>
      <c r="H4" s="42" t="s">
        <v>6</v>
      </c>
      <c r="I4" s="42" t="s">
        <v>7</v>
      </c>
      <c r="J4" s="42" t="s">
        <v>926</v>
      </c>
      <c r="K4" s="42" t="s">
        <v>8</v>
      </c>
      <c r="L4" s="42" t="s">
        <v>10</v>
      </c>
    </row>
    <row r="5" spans="1:12" ht="60" x14ac:dyDescent="0.25">
      <c r="A5" s="168">
        <v>1</v>
      </c>
      <c r="B5" s="51" t="s">
        <v>1080</v>
      </c>
      <c r="C5" s="51" t="s">
        <v>1045</v>
      </c>
      <c r="D5" s="168">
        <v>1</v>
      </c>
      <c r="E5" s="168" t="s">
        <v>12</v>
      </c>
      <c r="F5" s="169">
        <v>261902510</v>
      </c>
      <c r="G5" s="170">
        <f>D5*F5</f>
        <v>261902510</v>
      </c>
      <c r="H5" s="51" t="s">
        <v>835</v>
      </c>
      <c r="I5" s="51" t="s">
        <v>1046</v>
      </c>
      <c r="J5" s="98" t="s">
        <v>932</v>
      </c>
      <c r="K5" s="51" t="s">
        <v>71</v>
      </c>
      <c r="L5" s="51" t="s">
        <v>1047</v>
      </c>
    </row>
    <row r="6" spans="1:12" ht="60" x14ac:dyDescent="0.25">
      <c r="A6" s="168"/>
      <c r="B6" s="40" t="s">
        <v>1081</v>
      </c>
      <c r="C6" s="51" t="s">
        <v>1045</v>
      </c>
      <c r="D6" s="168">
        <v>1</v>
      </c>
      <c r="E6" s="168" t="s">
        <v>12</v>
      </c>
      <c r="F6" s="169">
        <v>219469315</v>
      </c>
      <c r="G6" s="170">
        <f>D6*F6</f>
        <v>219469315</v>
      </c>
      <c r="H6" s="51" t="s">
        <v>835</v>
      </c>
      <c r="I6" s="51" t="s">
        <v>1046</v>
      </c>
      <c r="J6" s="98" t="s">
        <v>932</v>
      </c>
      <c r="K6" s="51" t="s">
        <v>71</v>
      </c>
      <c r="L6" s="51" t="s">
        <v>1047</v>
      </c>
    </row>
    <row r="7" spans="1:12" ht="60" x14ac:dyDescent="0.25">
      <c r="A7" s="51">
        <v>1</v>
      </c>
      <c r="B7" s="51" t="s">
        <v>1080</v>
      </c>
      <c r="C7" s="51" t="s">
        <v>1045</v>
      </c>
      <c r="D7" s="51">
        <v>1</v>
      </c>
      <c r="E7" s="51" t="s">
        <v>12</v>
      </c>
      <c r="F7" s="64">
        <v>1476084690</v>
      </c>
      <c r="G7" s="64">
        <f>D7*F7</f>
        <v>1476084690</v>
      </c>
      <c r="H7" s="51" t="s">
        <v>835</v>
      </c>
      <c r="I7" s="51" t="s">
        <v>1046</v>
      </c>
      <c r="J7" s="98" t="s">
        <v>932</v>
      </c>
      <c r="K7" s="51" t="s">
        <v>71</v>
      </c>
      <c r="L7" s="51" t="s">
        <v>1047</v>
      </c>
    </row>
    <row r="8" spans="1:12" ht="60" x14ac:dyDescent="0.25">
      <c r="A8" s="40">
        <v>2</v>
      </c>
      <c r="B8" s="40" t="s">
        <v>1081</v>
      </c>
      <c r="C8" s="51" t="s">
        <v>1045</v>
      </c>
      <c r="D8" s="51">
        <v>1</v>
      </c>
      <c r="E8" s="51" t="s">
        <v>12</v>
      </c>
      <c r="F8" s="66">
        <v>1069205190</v>
      </c>
      <c r="G8" s="64">
        <f>D8*F8</f>
        <v>1069205190</v>
      </c>
      <c r="H8" s="51" t="s">
        <v>835</v>
      </c>
      <c r="I8" s="51" t="s">
        <v>1046</v>
      </c>
      <c r="J8" s="98" t="s">
        <v>932</v>
      </c>
      <c r="K8" s="51" t="s">
        <v>71</v>
      </c>
      <c r="L8" s="51" t="s">
        <v>1047</v>
      </c>
    </row>
    <row r="9" spans="1:12" x14ac:dyDescent="0.25">
      <c r="G9" s="46" t="s">
        <v>13</v>
      </c>
    </row>
    <row r="11" spans="1:12" ht="15.75" x14ac:dyDescent="0.25">
      <c r="A11" s="229" t="s">
        <v>1131</v>
      </c>
      <c r="B11" s="230"/>
      <c r="C11" s="230"/>
      <c r="D11" s="230"/>
      <c r="E11" s="230"/>
      <c r="F11" s="230"/>
      <c r="G11" s="230"/>
      <c r="H11" s="230"/>
      <c r="I11" s="230"/>
      <c r="J11" s="230"/>
      <c r="K11" s="230"/>
      <c r="L11" s="231"/>
    </row>
    <row r="12" spans="1:12" ht="15.75" x14ac:dyDescent="0.25">
      <c r="A12" s="232" t="s">
        <v>1050</v>
      </c>
      <c r="B12" s="232"/>
      <c r="C12" s="232"/>
      <c r="D12" s="97"/>
      <c r="E12" s="97"/>
      <c r="F12" s="97"/>
      <c r="G12" s="97"/>
      <c r="H12" s="97"/>
      <c r="I12" s="232" t="s">
        <v>1051</v>
      </c>
      <c r="J12" s="232"/>
      <c r="K12" s="232"/>
      <c r="L12" s="232"/>
    </row>
    <row r="13" spans="1:12" ht="45" x14ac:dyDescent="0.25">
      <c r="A13" s="42" t="s">
        <v>0</v>
      </c>
      <c r="B13" s="42" t="s">
        <v>1</v>
      </c>
      <c r="C13" s="43" t="s">
        <v>2</v>
      </c>
      <c r="D13" s="42" t="s">
        <v>3</v>
      </c>
      <c r="E13" s="42" t="s">
        <v>4</v>
      </c>
      <c r="F13" s="42" t="s">
        <v>352</v>
      </c>
      <c r="G13" s="42" t="s">
        <v>9</v>
      </c>
      <c r="H13" s="42" t="s">
        <v>6</v>
      </c>
      <c r="I13" s="42" t="s">
        <v>7</v>
      </c>
      <c r="J13" s="42" t="s">
        <v>926</v>
      </c>
      <c r="K13" s="42" t="s">
        <v>8</v>
      </c>
      <c r="L13" s="42" t="s">
        <v>10</v>
      </c>
    </row>
    <row r="14" spans="1:12" ht="48" x14ac:dyDescent="0.25">
      <c r="A14" s="51">
        <v>1</v>
      </c>
      <c r="B14" s="51" t="s">
        <v>1052</v>
      </c>
      <c r="C14" s="51" t="s">
        <v>1045</v>
      </c>
      <c r="D14" s="51">
        <v>1</v>
      </c>
      <c r="E14" s="51" t="s">
        <v>12</v>
      </c>
      <c r="F14" s="64">
        <v>1600000000</v>
      </c>
      <c r="G14" s="64">
        <f>D14*F14</f>
        <v>1600000000</v>
      </c>
      <c r="H14" s="51" t="s">
        <v>835</v>
      </c>
      <c r="I14" s="51" t="s">
        <v>1046</v>
      </c>
      <c r="J14" s="65" t="s">
        <v>932</v>
      </c>
      <c r="K14" s="51" t="s">
        <v>71</v>
      </c>
      <c r="L14" s="51" t="s">
        <v>1014</v>
      </c>
    </row>
    <row r="17" spans="1:12" ht="15.75" x14ac:dyDescent="0.25">
      <c r="A17" s="229" t="s">
        <v>1132</v>
      </c>
      <c r="B17" s="230"/>
      <c r="C17" s="230"/>
      <c r="D17" s="230"/>
      <c r="E17" s="230"/>
      <c r="F17" s="230"/>
      <c r="G17" s="230"/>
      <c r="H17" s="230"/>
      <c r="I17" s="230"/>
      <c r="J17" s="230"/>
      <c r="K17" s="230"/>
      <c r="L17" s="231"/>
    </row>
    <row r="18" spans="1:12" ht="15.75" x14ac:dyDescent="0.25">
      <c r="A18" s="232" t="s">
        <v>1053</v>
      </c>
      <c r="B18" s="232"/>
      <c r="C18" s="232"/>
      <c r="D18" s="97"/>
      <c r="E18" s="97"/>
      <c r="F18" s="97"/>
      <c r="G18" s="97"/>
      <c r="H18" s="97"/>
      <c r="I18" s="232" t="s">
        <v>1054</v>
      </c>
      <c r="J18" s="232"/>
      <c r="K18" s="232"/>
      <c r="L18" s="232"/>
    </row>
    <row r="19" spans="1:12" ht="45" x14ac:dyDescent="0.25">
      <c r="A19" s="42" t="s">
        <v>0</v>
      </c>
      <c r="B19" s="42" t="s">
        <v>1</v>
      </c>
      <c r="C19" s="43" t="s">
        <v>2</v>
      </c>
      <c r="D19" s="42" t="s">
        <v>3</v>
      </c>
      <c r="E19" s="42" t="s">
        <v>4</v>
      </c>
      <c r="F19" s="42" t="s">
        <v>352</v>
      </c>
      <c r="G19" s="42" t="s">
        <v>9</v>
      </c>
      <c r="H19" s="42" t="s">
        <v>6</v>
      </c>
      <c r="I19" s="42" t="s">
        <v>7</v>
      </c>
      <c r="J19" s="42" t="s">
        <v>926</v>
      </c>
      <c r="K19" s="42" t="s">
        <v>8</v>
      </c>
      <c r="L19" s="42" t="s">
        <v>10</v>
      </c>
    </row>
    <row r="20" spans="1:12" ht="48" x14ac:dyDescent="0.25">
      <c r="A20" s="51">
        <v>1</v>
      </c>
      <c r="B20" s="51" t="s">
        <v>1055</v>
      </c>
      <c r="C20" s="51" t="s">
        <v>1056</v>
      </c>
      <c r="D20" s="51">
        <v>1</v>
      </c>
      <c r="E20" s="51" t="s">
        <v>12</v>
      </c>
      <c r="F20" s="64">
        <v>550000000</v>
      </c>
      <c r="G20" s="64">
        <f>D20*F20</f>
        <v>550000000</v>
      </c>
      <c r="H20" s="51" t="s">
        <v>934</v>
      </c>
      <c r="I20" s="51" t="s">
        <v>1046</v>
      </c>
      <c r="J20" s="65" t="s">
        <v>932</v>
      </c>
      <c r="K20" s="51" t="s">
        <v>71</v>
      </c>
      <c r="L20" s="51" t="s">
        <v>1014</v>
      </c>
    </row>
    <row r="23" spans="1:12" ht="15.75" x14ac:dyDescent="0.25">
      <c r="A23" s="229" t="s">
        <v>1133</v>
      </c>
      <c r="B23" s="230"/>
      <c r="C23" s="230"/>
      <c r="D23" s="230"/>
      <c r="E23" s="230"/>
      <c r="F23" s="230"/>
      <c r="G23" s="230"/>
      <c r="H23" s="230"/>
      <c r="I23" s="230"/>
      <c r="J23" s="230"/>
      <c r="K23" s="230"/>
      <c r="L23" s="231"/>
    </row>
    <row r="24" spans="1:12" ht="15.75" x14ac:dyDescent="0.25">
      <c r="A24" s="232" t="s">
        <v>1057</v>
      </c>
      <c r="B24" s="232"/>
      <c r="C24" s="232"/>
      <c r="D24" s="97"/>
      <c r="E24" s="97"/>
      <c r="F24" s="97"/>
      <c r="G24" s="97"/>
      <c r="H24" s="97"/>
      <c r="I24" s="232" t="s">
        <v>996</v>
      </c>
      <c r="J24" s="232"/>
      <c r="K24" s="232"/>
      <c r="L24" s="232"/>
    </row>
    <row r="25" spans="1:12" ht="45" x14ac:dyDescent="0.25">
      <c r="A25" s="42" t="s">
        <v>0</v>
      </c>
      <c r="B25" s="42" t="s">
        <v>1</v>
      </c>
      <c r="C25" s="43" t="s">
        <v>2</v>
      </c>
      <c r="D25" s="42" t="s">
        <v>3</v>
      </c>
      <c r="E25" s="42" t="s">
        <v>4</v>
      </c>
      <c r="F25" s="42" t="s">
        <v>352</v>
      </c>
      <c r="G25" s="42" t="s">
        <v>9</v>
      </c>
      <c r="H25" s="42" t="s">
        <v>6</v>
      </c>
      <c r="I25" s="42" t="s">
        <v>7</v>
      </c>
      <c r="J25" s="42" t="s">
        <v>926</v>
      </c>
      <c r="K25" s="42" t="s">
        <v>8</v>
      </c>
      <c r="L25" s="42" t="s">
        <v>10</v>
      </c>
    </row>
    <row r="26" spans="1:12" ht="60" x14ac:dyDescent="0.25">
      <c r="A26" s="51">
        <v>1</v>
      </c>
      <c r="B26" s="51" t="s">
        <v>1058</v>
      </c>
      <c r="C26" s="51" t="s">
        <v>930</v>
      </c>
      <c r="D26" s="51">
        <v>1</v>
      </c>
      <c r="E26" s="51" t="s">
        <v>12</v>
      </c>
      <c r="F26" s="64">
        <v>100000000</v>
      </c>
      <c r="G26" s="64">
        <f>D26*F26</f>
        <v>100000000</v>
      </c>
      <c r="H26" s="51" t="s">
        <v>934</v>
      </c>
      <c r="I26" s="51" t="s">
        <v>836</v>
      </c>
      <c r="J26" s="65" t="s">
        <v>932</v>
      </c>
      <c r="K26" s="51" t="s">
        <v>71</v>
      </c>
      <c r="L26" s="51" t="s">
        <v>1014</v>
      </c>
    </row>
    <row r="30" spans="1:12" ht="15.75" x14ac:dyDescent="0.25">
      <c r="A30" s="229" t="s">
        <v>1119</v>
      </c>
      <c r="B30" s="230"/>
      <c r="C30" s="230"/>
      <c r="D30" s="230"/>
      <c r="E30" s="230"/>
      <c r="F30" s="230"/>
      <c r="G30" s="230"/>
      <c r="H30" s="230"/>
      <c r="I30" s="230"/>
      <c r="J30" s="230"/>
      <c r="K30" s="230"/>
      <c r="L30" s="231"/>
    </row>
    <row r="31" spans="1:12" ht="15.75" x14ac:dyDescent="0.25">
      <c r="A31" s="232" t="s">
        <v>1060</v>
      </c>
      <c r="B31" s="232"/>
      <c r="C31" s="232"/>
      <c r="D31" s="97"/>
      <c r="E31" s="97"/>
      <c r="F31" s="97"/>
      <c r="G31" s="97"/>
      <c r="H31" s="97"/>
      <c r="I31" s="232" t="s">
        <v>1061</v>
      </c>
      <c r="J31" s="232"/>
      <c r="K31" s="232"/>
      <c r="L31" s="232"/>
    </row>
    <row r="32" spans="1:12" ht="45" x14ac:dyDescent="0.25">
      <c r="A32" s="42" t="s">
        <v>0</v>
      </c>
      <c r="B32" s="42" t="s">
        <v>1</v>
      </c>
      <c r="C32" s="43" t="s">
        <v>2</v>
      </c>
      <c r="D32" s="42" t="s">
        <v>3</v>
      </c>
      <c r="E32" s="42" t="s">
        <v>4</v>
      </c>
      <c r="F32" s="42" t="s">
        <v>352</v>
      </c>
      <c r="G32" s="42" t="s">
        <v>9</v>
      </c>
      <c r="H32" s="42" t="s">
        <v>6</v>
      </c>
      <c r="I32" s="42" t="s">
        <v>7</v>
      </c>
      <c r="J32" s="42" t="s">
        <v>926</v>
      </c>
      <c r="K32" s="42" t="s">
        <v>8</v>
      </c>
      <c r="L32" s="42" t="s">
        <v>10</v>
      </c>
    </row>
    <row r="33" spans="1:12" ht="60" x14ac:dyDescent="0.25">
      <c r="A33" s="51">
        <v>1</v>
      </c>
      <c r="B33" s="51" t="s">
        <v>1059</v>
      </c>
      <c r="C33" s="51" t="s">
        <v>930</v>
      </c>
      <c r="D33" s="51">
        <v>1</v>
      </c>
      <c r="E33" s="51" t="s">
        <v>12</v>
      </c>
      <c r="F33" s="64">
        <v>70000000</v>
      </c>
      <c r="G33" s="64">
        <f>D33*F33</f>
        <v>70000000</v>
      </c>
      <c r="H33" s="51" t="s">
        <v>934</v>
      </c>
      <c r="I33" s="51" t="s">
        <v>836</v>
      </c>
      <c r="J33" s="65" t="s">
        <v>932</v>
      </c>
      <c r="K33" s="51" t="s">
        <v>71</v>
      </c>
      <c r="L33" s="51" t="s">
        <v>1014</v>
      </c>
    </row>
    <row r="36" spans="1:12" ht="15.75" x14ac:dyDescent="0.25">
      <c r="A36" s="229" t="s">
        <v>1120</v>
      </c>
      <c r="B36" s="230"/>
      <c r="C36" s="230"/>
      <c r="D36" s="230"/>
      <c r="E36" s="230"/>
      <c r="F36" s="230"/>
      <c r="G36" s="230"/>
      <c r="H36" s="230"/>
      <c r="I36" s="230"/>
      <c r="J36" s="230"/>
      <c r="K36" s="230"/>
      <c r="L36" s="231"/>
    </row>
    <row r="37" spans="1:12" ht="15.75" x14ac:dyDescent="0.25">
      <c r="A37" s="232" t="s">
        <v>1062</v>
      </c>
      <c r="B37" s="232"/>
      <c r="C37" s="232"/>
      <c r="D37" s="97"/>
      <c r="E37" s="97"/>
      <c r="F37" s="97"/>
      <c r="G37" s="97"/>
      <c r="H37" s="97"/>
      <c r="I37" s="232" t="s">
        <v>1061</v>
      </c>
      <c r="J37" s="232"/>
      <c r="K37" s="232"/>
      <c r="L37" s="232"/>
    </row>
    <row r="38" spans="1:12" ht="45" x14ac:dyDescent="0.25">
      <c r="A38" s="42" t="s">
        <v>0</v>
      </c>
      <c r="B38" s="42" t="s">
        <v>1</v>
      </c>
      <c r="C38" s="43" t="s">
        <v>2</v>
      </c>
      <c r="D38" s="42" t="s">
        <v>3</v>
      </c>
      <c r="E38" s="42" t="s">
        <v>4</v>
      </c>
      <c r="F38" s="42" t="s">
        <v>352</v>
      </c>
      <c r="G38" s="42" t="s">
        <v>9</v>
      </c>
      <c r="H38" s="42" t="s">
        <v>6</v>
      </c>
      <c r="I38" s="42" t="s">
        <v>7</v>
      </c>
      <c r="J38" s="42" t="s">
        <v>926</v>
      </c>
      <c r="K38" s="42" t="s">
        <v>8</v>
      </c>
      <c r="L38" s="42" t="s">
        <v>10</v>
      </c>
    </row>
    <row r="39" spans="1:12" ht="60" x14ac:dyDescent="0.25">
      <c r="A39" s="51">
        <v>1</v>
      </c>
      <c r="B39" s="51" t="s">
        <v>1059</v>
      </c>
      <c r="C39" s="51" t="s">
        <v>930</v>
      </c>
      <c r="D39" s="51">
        <v>1</v>
      </c>
      <c r="E39" s="51" t="s">
        <v>12</v>
      </c>
      <c r="F39" s="64">
        <v>70000000</v>
      </c>
      <c r="G39" s="64">
        <f>D39*F39</f>
        <v>70000000</v>
      </c>
      <c r="H39" s="51" t="s">
        <v>934</v>
      </c>
      <c r="I39" s="51" t="s">
        <v>836</v>
      </c>
      <c r="J39" s="65" t="s">
        <v>938</v>
      </c>
      <c r="K39" s="51" t="s">
        <v>71</v>
      </c>
      <c r="L39" s="51" t="s">
        <v>1014</v>
      </c>
    </row>
    <row r="42" spans="1:12" ht="15.75" x14ac:dyDescent="0.25">
      <c r="A42" s="229" t="s">
        <v>1121</v>
      </c>
      <c r="B42" s="230"/>
      <c r="C42" s="230"/>
      <c r="D42" s="230"/>
      <c r="E42" s="230"/>
      <c r="F42" s="230"/>
      <c r="G42" s="230"/>
      <c r="H42" s="230"/>
      <c r="I42" s="230"/>
      <c r="J42" s="230"/>
      <c r="K42" s="230"/>
      <c r="L42" s="231"/>
    </row>
    <row r="43" spans="1:12" ht="15.75" x14ac:dyDescent="0.25">
      <c r="A43" s="232" t="s">
        <v>1063</v>
      </c>
      <c r="B43" s="232"/>
      <c r="C43" s="232"/>
      <c r="D43" s="97"/>
      <c r="E43" s="97"/>
      <c r="F43" s="97"/>
      <c r="G43" s="97"/>
      <c r="H43" s="97"/>
      <c r="I43" s="232" t="s">
        <v>1064</v>
      </c>
      <c r="J43" s="232"/>
      <c r="K43" s="232"/>
      <c r="L43" s="232"/>
    </row>
    <row r="44" spans="1:12" ht="45" x14ac:dyDescent="0.25">
      <c r="A44" s="42" t="s">
        <v>0</v>
      </c>
      <c r="B44" s="42" t="s">
        <v>1</v>
      </c>
      <c r="C44" s="43" t="s">
        <v>2</v>
      </c>
      <c r="D44" s="42" t="s">
        <v>3</v>
      </c>
      <c r="E44" s="42" t="s">
        <v>4</v>
      </c>
      <c r="F44" s="42" t="s">
        <v>352</v>
      </c>
      <c r="G44" s="42" t="s">
        <v>9</v>
      </c>
      <c r="H44" s="42" t="s">
        <v>6</v>
      </c>
      <c r="I44" s="42" t="s">
        <v>7</v>
      </c>
      <c r="J44" s="42" t="s">
        <v>926</v>
      </c>
      <c r="K44" s="42" t="s">
        <v>8</v>
      </c>
      <c r="L44" s="42" t="s">
        <v>10</v>
      </c>
    </row>
    <row r="45" spans="1:12" ht="60" x14ac:dyDescent="0.25">
      <c r="A45" s="51">
        <v>1</v>
      </c>
      <c r="B45" s="51" t="s">
        <v>1065</v>
      </c>
      <c r="C45" s="51" t="s">
        <v>930</v>
      </c>
      <c r="D45" s="51">
        <v>1</v>
      </c>
      <c r="E45" s="51" t="s">
        <v>12</v>
      </c>
      <c r="F45" s="64">
        <v>40000000</v>
      </c>
      <c r="G45" s="64">
        <f>D45*F45</f>
        <v>40000000</v>
      </c>
      <c r="H45" s="51" t="s">
        <v>934</v>
      </c>
      <c r="I45" s="51" t="s">
        <v>836</v>
      </c>
      <c r="J45" s="65" t="s">
        <v>927</v>
      </c>
      <c r="K45" s="51" t="s">
        <v>71</v>
      </c>
      <c r="L45" s="51" t="s">
        <v>1014</v>
      </c>
    </row>
    <row r="48" spans="1:12" ht="15.75" x14ac:dyDescent="0.25">
      <c r="A48" s="229" t="s">
        <v>1122</v>
      </c>
      <c r="B48" s="230"/>
      <c r="C48" s="230"/>
      <c r="D48" s="230"/>
      <c r="E48" s="230"/>
      <c r="F48" s="230"/>
      <c r="G48" s="230"/>
      <c r="H48" s="230"/>
      <c r="I48" s="230"/>
      <c r="J48" s="230"/>
      <c r="K48" s="230"/>
      <c r="L48" s="231"/>
    </row>
    <row r="49" spans="1:12" ht="15.75" x14ac:dyDescent="0.25">
      <c r="A49" s="232" t="s">
        <v>1146</v>
      </c>
      <c r="B49" s="232"/>
      <c r="C49" s="232"/>
      <c r="D49" s="97"/>
      <c r="E49" s="97"/>
      <c r="F49" s="97"/>
      <c r="G49" s="97"/>
      <c r="H49" s="97"/>
      <c r="I49" s="232" t="s">
        <v>1064</v>
      </c>
      <c r="J49" s="232"/>
      <c r="K49" s="232"/>
      <c r="L49" s="232"/>
    </row>
    <row r="50" spans="1:12" ht="45" x14ac:dyDescent="0.25">
      <c r="A50" s="42" t="s">
        <v>0</v>
      </c>
      <c r="B50" s="42" t="s">
        <v>1</v>
      </c>
      <c r="C50" s="43" t="s">
        <v>2</v>
      </c>
      <c r="D50" s="42" t="s">
        <v>3</v>
      </c>
      <c r="E50" s="42" t="s">
        <v>4</v>
      </c>
      <c r="F50" s="42" t="s">
        <v>352</v>
      </c>
      <c r="G50" s="42" t="s">
        <v>9</v>
      </c>
      <c r="H50" s="42" t="s">
        <v>6</v>
      </c>
      <c r="I50" s="42" t="s">
        <v>7</v>
      </c>
      <c r="J50" s="42" t="s">
        <v>926</v>
      </c>
      <c r="K50" s="42" t="s">
        <v>8</v>
      </c>
      <c r="L50" s="42" t="s">
        <v>10</v>
      </c>
    </row>
    <row r="51" spans="1:12" ht="60" x14ac:dyDescent="0.25">
      <c r="A51" s="51">
        <v>1</v>
      </c>
      <c r="B51" s="51" t="s">
        <v>1083</v>
      </c>
      <c r="C51" s="51" t="s">
        <v>1082</v>
      </c>
      <c r="D51" s="55">
        <v>1</v>
      </c>
      <c r="E51" s="55" t="s">
        <v>12</v>
      </c>
      <c r="F51" s="64">
        <v>40000000</v>
      </c>
      <c r="G51" s="64">
        <f>D51*F51</f>
        <v>40000000</v>
      </c>
      <c r="H51" s="55" t="s">
        <v>934</v>
      </c>
      <c r="I51" s="55" t="s">
        <v>836</v>
      </c>
      <c r="J51" s="65" t="s">
        <v>927</v>
      </c>
      <c r="K51" s="55" t="s">
        <v>71</v>
      </c>
      <c r="L51" s="51" t="s">
        <v>1014</v>
      </c>
    </row>
    <row r="56" spans="1:12" ht="15.75" x14ac:dyDescent="0.25">
      <c r="A56" s="229" t="s">
        <v>1123</v>
      </c>
      <c r="B56" s="230"/>
      <c r="C56" s="230"/>
      <c r="D56" s="230"/>
      <c r="E56" s="230"/>
      <c r="F56" s="230"/>
      <c r="G56" s="230"/>
      <c r="H56" s="230"/>
      <c r="I56" s="230"/>
      <c r="J56" s="230"/>
      <c r="K56" s="230"/>
      <c r="L56" s="231"/>
    </row>
    <row r="57" spans="1:12" ht="15.75" x14ac:dyDescent="0.25">
      <c r="A57" s="232" t="s">
        <v>1085</v>
      </c>
      <c r="B57" s="232"/>
      <c r="C57" s="232"/>
      <c r="D57" s="97"/>
      <c r="E57" s="97"/>
      <c r="F57" s="97"/>
      <c r="G57" s="97"/>
      <c r="H57" s="97"/>
      <c r="I57" s="232" t="s">
        <v>996</v>
      </c>
      <c r="J57" s="232"/>
      <c r="K57" s="232"/>
      <c r="L57" s="232"/>
    </row>
    <row r="58" spans="1:12" ht="45" x14ac:dyDescent="0.25">
      <c r="A58" s="42" t="s">
        <v>0</v>
      </c>
      <c r="B58" s="42" t="s">
        <v>1</v>
      </c>
      <c r="C58" s="43" t="s">
        <v>2</v>
      </c>
      <c r="D58" s="42" t="s">
        <v>3</v>
      </c>
      <c r="E58" s="42" t="s">
        <v>4</v>
      </c>
      <c r="F58" s="42" t="s">
        <v>352</v>
      </c>
      <c r="G58" s="42" t="s">
        <v>9</v>
      </c>
      <c r="H58" s="42" t="s">
        <v>6</v>
      </c>
      <c r="I58" s="42" t="s">
        <v>7</v>
      </c>
      <c r="J58" s="42" t="s">
        <v>926</v>
      </c>
      <c r="K58" s="42" t="s">
        <v>8</v>
      </c>
      <c r="L58" s="42" t="s">
        <v>10</v>
      </c>
    </row>
    <row r="59" spans="1:12" ht="60" x14ac:dyDescent="0.25">
      <c r="A59" s="51">
        <v>1</v>
      </c>
      <c r="B59" s="51" t="s">
        <v>1086</v>
      </c>
      <c r="C59" s="51" t="s">
        <v>1082</v>
      </c>
      <c r="D59" s="55">
        <v>1</v>
      </c>
      <c r="E59" s="55" t="s">
        <v>12</v>
      </c>
      <c r="F59" s="64">
        <v>100000000</v>
      </c>
      <c r="G59" s="64">
        <f>D59*F59</f>
        <v>100000000</v>
      </c>
      <c r="H59" s="55" t="s">
        <v>934</v>
      </c>
      <c r="I59" s="55" t="s">
        <v>836</v>
      </c>
      <c r="J59" s="65" t="s">
        <v>927</v>
      </c>
      <c r="K59" s="55" t="s">
        <v>71</v>
      </c>
      <c r="L59" s="51" t="s">
        <v>1014</v>
      </c>
    </row>
    <row r="62" spans="1:12" ht="15.75" x14ac:dyDescent="0.25">
      <c r="A62" s="229" t="s">
        <v>1124</v>
      </c>
      <c r="B62" s="230"/>
      <c r="C62" s="230"/>
      <c r="D62" s="230"/>
      <c r="E62" s="230"/>
      <c r="F62" s="230"/>
      <c r="G62" s="230"/>
      <c r="H62" s="230"/>
      <c r="I62" s="230"/>
      <c r="J62" s="230"/>
      <c r="K62" s="230"/>
      <c r="L62" s="231"/>
    </row>
    <row r="63" spans="1:12" ht="15.75" x14ac:dyDescent="0.25">
      <c r="A63" s="232" t="s">
        <v>1084</v>
      </c>
      <c r="B63" s="232"/>
      <c r="C63" s="232"/>
      <c r="D63" s="97"/>
      <c r="E63" s="97"/>
      <c r="F63" s="97"/>
      <c r="G63" s="97"/>
      <c r="H63" s="97"/>
      <c r="I63" s="232" t="s">
        <v>996</v>
      </c>
      <c r="J63" s="232"/>
      <c r="K63" s="232"/>
      <c r="L63" s="232"/>
    </row>
    <row r="64" spans="1:12" ht="45" x14ac:dyDescent="0.25">
      <c r="A64" s="42" t="s">
        <v>0</v>
      </c>
      <c r="B64" s="42" t="s">
        <v>1</v>
      </c>
      <c r="C64" s="43" t="s">
        <v>2</v>
      </c>
      <c r="D64" s="42" t="s">
        <v>3</v>
      </c>
      <c r="E64" s="42" t="s">
        <v>4</v>
      </c>
      <c r="F64" s="42" t="s">
        <v>352</v>
      </c>
      <c r="G64" s="42" t="s">
        <v>9</v>
      </c>
      <c r="H64" s="42" t="s">
        <v>6</v>
      </c>
      <c r="I64" s="42" t="s">
        <v>7</v>
      </c>
      <c r="J64" s="42" t="s">
        <v>926</v>
      </c>
      <c r="K64" s="42" t="s">
        <v>8</v>
      </c>
      <c r="L64" s="42" t="s">
        <v>10</v>
      </c>
    </row>
    <row r="65" spans="1:12" ht="60" x14ac:dyDescent="0.25">
      <c r="A65" s="51">
        <v>1</v>
      </c>
      <c r="B65" s="51" t="s">
        <v>1099</v>
      </c>
      <c r="C65" s="51" t="s">
        <v>1082</v>
      </c>
      <c r="D65" s="55">
        <v>1</v>
      </c>
      <c r="E65" s="55" t="s">
        <v>12</v>
      </c>
      <c r="F65" s="64">
        <v>100000000</v>
      </c>
      <c r="G65" s="64">
        <f>D65*F65</f>
        <v>100000000</v>
      </c>
      <c r="H65" s="55" t="s">
        <v>934</v>
      </c>
      <c r="I65" s="55" t="s">
        <v>836</v>
      </c>
      <c r="J65" s="65" t="s">
        <v>927</v>
      </c>
      <c r="K65" s="55" t="s">
        <v>71</v>
      </c>
      <c r="L65" s="51" t="s">
        <v>1087</v>
      </c>
    </row>
    <row r="69" spans="1:12" ht="15.75" x14ac:dyDescent="0.25">
      <c r="A69" s="229" t="s">
        <v>1125</v>
      </c>
      <c r="B69" s="230"/>
      <c r="C69" s="230"/>
      <c r="D69" s="230"/>
      <c r="E69" s="230"/>
      <c r="F69" s="230"/>
      <c r="G69" s="230"/>
      <c r="H69" s="230"/>
      <c r="I69" s="230"/>
      <c r="J69" s="230"/>
      <c r="K69" s="230"/>
      <c r="L69" s="231"/>
    </row>
    <row r="70" spans="1:12" ht="15.75" x14ac:dyDescent="0.25">
      <c r="A70" s="232" t="s">
        <v>1098</v>
      </c>
      <c r="B70" s="232"/>
      <c r="C70" s="232"/>
      <c r="D70" s="97"/>
      <c r="E70" s="97"/>
      <c r="F70" s="97"/>
      <c r="G70" s="97"/>
      <c r="H70" s="97"/>
      <c r="I70" s="232" t="s">
        <v>1088</v>
      </c>
      <c r="J70" s="232"/>
      <c r="K70" s="232"/>
      <c r="L70" s="232"/>
    </row>
    <row r="71" spans="1:12" ht="45" x14ac:dyDescent="0.25">
      <c r="A71" s="42" t="s">
        <v>0</v>
      </c>
      <c r="B71" s="42" t="s">
        <v>1</v>
      </c>
      <c r="C71" s="43" t="s">
        <v>2</v>
      </c>
      <c r="D71" s="42" t="s">
        <v>3</v>
      </c>
      <c r="E71" s="42" t="s">
        <v>4</v>
      </c>
      <c r="F71" s="42" t="s">
        <v>352</v>
      </c>
      <c r="G71" s="42" t="s">
        <v>9</v>
      </c>
      <c r="H71" s="42" t="s">
        <v>6</v>
      </c>
      <c r="I71" s="42" t="s">
        <v>7</v>
      </c>
      <c r="J71" s="42" t="s">
        <v>926</v>
      </c>
      <c r="K71" s="42" t="s">
        <v>8</v>
      </c>
      <c r="L71" s="42" t="s">
        <v>10</v>
      </c>
    </row>
    <row r="72" spans="1:12" ht="36" x14ac:dyDescent="0.25">
      <c r="A72" s="51">
        <v>1</v>
      </c>
      <c r="B72" s="51" t="s">
        <v>1089</v>
      </c>
      <c r="C72" s="51" t="s">
        <v>1090</v>
      </c>
      <c r="D72" s="55">
        <v>1</v>
      </c>
      <c r="E72" s="55" t="s">
        <v>12</v>
      </c>
      <c r="F72" s="64">
        <v>180000000</v>
      </c>
      <c r="G72" s="64">
        <f>D72*F72</f>
        <v>180000000</v>
      </c>
      <c r="H72" s="55" t="s">
        <v>934</v>
      </c>
      <c r="I72" s="55" t="s">
        <v>836</v>
      </c>
      <c r="J72" s="65" t="s">
        <v>927</v>
      </c>
      <c r="K72" s="55" t="s">
        <v>71</v>
      </c>
      <c r="L72" s="51" t="s">
        <v>1087</v>
      </c>
    </row>
    <row r="75" spans="1:12" ht="15.75" x14ac:dyDescent="0.25">
      <c r="A75" s="229" t="s">
        <v>1126</v>
      </c>
      <c r="B75" s="230"/>
      <c r="C75" s="230"/>
      <c r="D75" s="230"/>
      <c r="E75" s="230"/>
      <c r="F75" s="230"/>
      <c r="G75" s="230"/>
      <c r="H75" s="230"/>
      <c r="I75" s="230"/>
      <c r="J75" s="230"/>
      <c r="K75" s="230"/>
      <c r="L75" s="231"/>
    </row>
    <row r="76" spans="1:12" ht="15.75" x14ac:dyDescent="0.25">
      <c r="A76" s="232" t="s">
        <v>1094</v>
      </c>
      <c r="B76" s="232"/>
      <c r="C76" s="232"/>
      <c r="D76" s="97"/>
      <c r="E76" s="97"/>
      <c r="F76" s="97"/>
      <c r="G76" s="97"/>
      <c r="H76" s="97"/>
      <c r="I76" s="232" t="s">
        <v>1093</v>
      </c>
      <c r="J76" s="232"/>
      <c r="K76" s="232"/>
      <c r="L76" s="232"/>
    </row>
    <row r="77" spans="1:12" ht="45" x14ac:dyDescent="0.25">
      <c r="A77" s="42" t="s">
        <v>0</v>
      </c>
      <c r="B77" s="42" t="s">
        <v>1</v>
      </c>
      <c r="C77" s="43" t="s">
        <v>2</v>
      </c>
      <c r="D77" s="42" t="s">
        <v>3</v>
      </c>
      <c r="E77" s="42" t="s">
        <v>4</v>
      </c>
      <c r="F77" s="42" t="s">
        <v>352</v>
      </c>
      <c r="G77" s="42" t="s">
        <v>9</v>
      </c>
      <c r="H77" s="42" t="s">
        <v>6</v>
      </c>
      <c r="I77" s="42" t="s">
        <v>7</v>
      </c>
      <c r="J77" s="42" t="s">
        <v>926</v>
      </c>
      <c r="K77" s="42" t="s">
        <v>8</v>
      </c>
      <c r="L77" s="42" t="s">
        <v>10</v>
      </c>
    </row>
    <row r="78" spans="1:12" ht="48" x14ac:dyDescent="0.25">
      <c r="A78" s="51">
        <v>1</v>
      </c>
      <c r="B78" s="51" t="s">
        <v>1091</v>
      </c>
      <c r="C78" s="51" t="s">
        <v>1092</v>
      </c>
      <c r="D78" s="55">
        <v>1</v>
      </c>
      <c r="E78" s="55" t="s">
        <v>12</v>
      </c>
      <c r="F78" s="64">
        <v>140000000</v>
      </c>
      <c r="G78" s="64">
        <f>D78*F78</f>
        <v>140000000</v>
      </c>
      <c r="H78" s="55" t="s">
        <v>934</v>
      </c>
      <c r="I78" s="55" t="s">
        <v>836</v>
      </c>
      <c r="J78" s="65" t="s">
        <v>927</v>
      </c>
      <c r="K78" s="55" t="s">
        <v>71</v>
      </c>
      <c r="L78" s="51" t="s">
        <v>1087</v>
      </c>
    </row>
    <row r="82" spans="1:12" ht="15.75" x14ac:dyDescent="0.25">
      <c r="A82" s="229" t="s">
        <v>1127</v>
      </c>
      <c r="B82" s="230"/>
      <c r="C82" s="230"/>
      <c r="D82" s="230"/>
      <c r="E82" s="230"/>
      <c r="F82" s="230"/>
      <c r="G82" s="230"/>
      <c r="H82" s="230"/>
      <c r="I82" s="230"/>
      <c r="J82" s="230"/>
      <c r="K82" s="230"/>
      <c r="L82" s="231"/>
    </row>
    <row r="83" spans="1:12" ht="15.75" x14ac:dyDescent="0.25">
      <c r="A83" s="232" t="s">
        <v>1097</v>
      </c>
      <c r="B83" s="232"/>
      <c r="C83" s="232"/>
      <c r="D83" s="97"/>
      <c r="E83" s="97"/>
      <c r="F83" s="97"/>
      <c r="G83" s="97"/>
      <c r="H83" s="97"/>
      <c r="I83" s="232" t="s">
        <v>1088</v>
      </c>
      <c r="J83" s="232"/>
      <c r="K83" s="232"/>
      <c r="L83" s="232"/>
    </row>
    <row r="84" spans="1:12" ht="45" x14ac:dyDescent="0.25">
      <c r="A84" s="42" t="s">
        <v>0</v>
      </c>
      <c r="B84" s="42" t="s">
        <v>1</v>
      </c>
      <c r="C84" s="43" t="s">
        <v>2</v>
      </c>
      <c r="D84" s="42" t="s">
        <v>3</v>
      </c>
      <c r="E84" s="42" t="s">
        <v>4</v>
      </c>
      <c r="F84" s="42" t="s">
        <v>352</v>
      </c>
      <c r="G84" s="42" t="s">
        <v>9</v>
      </c>
      <c r="H84" s="42" t="s">
        <v>6</v>
      </c>
      <c r="I84" s="42" t="s">
        <v>7</v>
      </c>
      <c r="J84" s="42" t="s">
        <v>926</v>
      </c>
      <c r="K84" s="42" t="s">
        <v>8</v>
      </c>
      <c r="L84" s="42" t="s">
        <v>10</v>
      </c>
    </row>
    <row r="85" spans="1:12" ht="36" x14ac:dyDescent="0.25">
      <c r="A85" s="51">
        <v>1</v>
      </c>
      <c r="B85" s="51" t="s">
        <v>1095</v>
      </c>
      <c r="C85" s="51" t="s">
        <v>1096</v>
      </c>
      <c r="D85" s="55">
        <v>1</v>
      </c>
      <c r="E85" s="55" t="s">
        <v>12</v>
      </c>
      <c r="F85" s="64">
        <v>180000000</v>
      </c>
      <c r="G85" s="64">
        <f>D85*F85</f>
        <v>180000000</v>
      </c>
      <c r="H85" s="55" t="s">
        <v>934</v>
      </c>
      <c r="I85" s="55" t="s">
        <v>836</v>
      </c>
      <c r="J85" s="65" t="s">
        <v>927</v>
      </c>
      <c r="K85" s="55" t="s">
        <v>71</v>
      </c>
      <c r="L85" s="51" t="s">
        <v>1087</v>
      </c>
    </row>
  </sheetData>
  <mergeCells count="39">
    <mergeCell ref="A42:L42"/>
    <mergeCell ref="A43:C43"/>
    <mergeCell ref="I43:L43"/>
    <mergeCell ref="A30:L30"/>
    <mergeCell ref="A31:C31"/>
    <mergeCell ref="I31:L31"/>
    <mergeCell ref="A36:L36"/>
    <mergeCell ref="A37:C37"/>
    <mergeCell ref="I37:L37"/>
    <mergeCell ref="A17:L17"/>
    <mergeCell ref="A18:C18"/>
    <mergeCell ref="I18:L18"/>
    <mergeCell ref="A23:L23"/>
    <mergeCell ref="A24:C24"/>
    <mergeCell ref="I24:L24"/>
    <mergeCell ref="A2:L2"/>
    <mergeCell ref="A3:C3"/>
    <mergeCell ref="I3:L3"/>
    <mergeCell ref="A11:L11"/>
    <mergeCell ref="A12:C12"/>
    <mergeCell ref="I12:L12"/>
    <mergeCell ref="A48:L48"/>
    <mergeCell ref="A49:C49"/>
    <mergeCell ref="I49:L49"/>
    <mergeCell ref="A56:L56"/>
    <mergeCell ref="A57:C57"/>
    <mergeCell ref="I57:L57"/>
    <mergeCell ref="A62:L62"/>
    <mergeCell ref="A63:C63"/>
    <mergeCell ref="I63:L63"/>
    <mergeCell ref="A69:L69"/>
    <mergeCell ref="A70:C70"/>
    <mergeCell ref="I70:L70"/>
    <mergeCell ref="A75:L75"/>
    <mergeCell ref="A76:C76"/>
    <mergeCell ref="I76:L76"/>
    <mergeCell ref="A82:L82"/>
    <mergeCell ref="A83:C83"/>
    <mergeCell ref="I83:L8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A7" sqref="A7:L10"/>
    </sheetView>
  </sheetViews>
  <sheetFormatPr baseColWidth="10" defaultRowHeight="15" x14ac:dyDescent="0.25"/>
  <cols>
    <col min="1" max="1" width="5.42578125" customWidth="1"/>
    <col min="2" max="2" width="29.140625" customWidth="1"/>
  </cols>
  <sheetData>
    <row r="1" spans="1:12" ht="15.75" x14ac:dyDescent="0.25">
      <c r="A1" s="229" t="s">
        <v>1163</v>
      </c>
      <c r="B1" s="230"/>
      <c r="C1" s="230"/>
      <c r="D1" s="230"/>
      <c r="E1" s="230"/>
      <c r="F1" s="230"/>
      <c r="G1" s="230"/>
      <c r="H1" s="230"/>
      <c r="I1" s="230"/>
      <c r="J1" s="230"/>
      <c r="K1" s="230"/>
      <c r="L1" s="231"/>
    </row>
    <row r="2" spans="1:12" ht="15.75" x14ac:dyDescent="0.25">
      <c r="A2" s="232" t="s">
        <v>1164</v>
      </c>
      <c r="B2" s="232"/>
      <c r="C2" s="232"/>
      <c r="D2" s="97"/>
      <c r="E2" s="97"/>
      <c r="F2" s="97"/>
      <c r="G2" s="97"/>
      <c r="H2" s="97"/>
      <c r="I2" s="232" t="s">
        <v>1165</v>
      </c>
      <c r="J2" s="232"/>
      <c r="K2" s="232"/>
      <c r="L2" s="232"/>
    </row>
    <row r="3" spans="1:12" ht="45" x14ac:dyDescent="0.25">
      <c r="A3" s="42" t="s">
        <v>0</v>
      </c>
      <c r="B3" s="42" t="s">
        <v>1</v>
      </c>
      <c r="C3" s="43" t="s">
        <v>2</v>
      </c>
      <c r="D3" s="42" t="s">
        <v>3</v>
      </c>
      <c r="E3" s="42" t="s">
        <v>4</v>
      </c>
      <c r="F3" s="42" t="s">
        <v>352</v>
      </c>
      <c r="G3" s="42" t="s">
        <v>9</v>
      </c>
      <c r="H3" s="42" t="s">
        <v>6</v>
      </c>
      <c r="I3" s="42" t="s">
        <v>7</v>
      </c>
      <c r="J3" s="42" t="s">
        <v>926</v>
      </c>
      <c r="K3" s="42" t="s">
        <v>8</v>
      </c>
      <c r="L3" s="42" t="s">
        <v>10</v>
      </c>
    </row>
    <row r="4" spans="1:12" ht="108" x14ac:dyDescent="0.25">
      <c r="A4" s="51">
        <v>1</v>
      </c>
      <c r="B4" s="51" t="s">
        <v>1166</v>
      </c>
      <c r="C4" s="51" t="s">
        <v>1167</v>
      </c>
      <c r="D4" s="55">
        <v>1</v>
      </c>
      <c r="E4" s="55" t="s">
        <v>12</v>
      </c>
      <c r="F4" s="64">
        <v>480000000</v>
      </c>
      <c r="G4" s="64">
        <f>D4*F4</f>
        <v>480000000</v>
      </c>
      <c r="H4" s="55" t="s">
        <v>934</v>
      </c>
      <c r="I4" s="55" t="s">
        <v>836</v>
      </c>
      <c r="J4" s="65" t="s">
        <v>927</v>
      </c>
      <c r="K4" s="55" t="s">
        <v>71</v>
      </c>
      <c r="L4" s="51" t="s">
        <v>1087</v>
      </c>
    </row>
    <row r="7" spans="1:12" ht="15.75" x14ac:dyDescent="0.25">
      <c r="A7" s="229" t="s">
        <v>1168</v>
      </c>
      <c r="B7" s="230"/>
      <c r="C7" s="230"/>
      <c r="D7" s="230"/>
      <c r="E7" s="230"/>
      <c r="F7" s="230"/>
      <c r="G7" s="230"/>
      <c r="H7" s="230"/>
      <c r="I7" s="230"/>
      <c r="J7" s="230"/>
      <c r="K7" s="230"/>
      <c r="L7" s="231"/>
    </row>
    <row r="8" spans="1:12" ht="15.75" x14ac:dyDescent="0.25">
      <c r="A8" s="232" t="s">
        <v>1169</v>
      </c>
      <c r="B8" s="232"/>
      <c r="C8" s="232"/>
      <c r="D8" s="97"/>
      <c r="E8" s="97"/>
      <c r="F8" s="97"/>
      <c r="G8" s="97"/>
      <c r="H8" s="97"/>
      <c r="I8" s="232" t="s">
        <v>1170</v>
      </c>
      <c r="J8" s="232"/>
      <c r="K8" s="232"/>
      <c r="L8" s="232"/>
    </row>
    <row r="9" spans="1:12" ht="45" x14ac:dyDescent="0.25">
      <c r="A9" s="42" t="s">
        <v>0</v>
      </c>
      <c r="B9" s="42" t="s">
        <v>1</v>
      </c>
      <c r="C9" s="43" t="s">
        <v>2</v>
      </c>
      <c r="D9" s="42" t="s">
        <v>3</v>
      </c>
      <c r="E9" s="42" t="s">
        <v>4</v>
      </c>
      <c r="F9" s="42" t="s">
        <v>352</v>
      </c>
      <c r="G9" s="42" t="s">
        <v>9</v>
      </c>
      <c r="H9" s="42" t="s">
        <v>6</v>
      </c>
      <c r="I9" s="42" t="s">
        <v>7</v>
      </c>
      <c r="J9" s="42" t="s">
        <v>926</v>
      </c>
      <c r="K9" s="42" t="s">
        <v>8</v>
      </c>
      <c r="L9" s="42" t="s">
        <v>10</v>
      </c>
    </row>
    <row r="10" spans="1:12" ht="72" x14ac:dyDescent="0.25">
      <c r="A10" s="51">
        <v>1</v>
      </c>
      <c r="B10" s="51" t="s">
        <v>1171</v>
      </c>
      <c r="C10" s="51" t="s">
        <v>1172</v>
      </c>
      <c r="D10" s="55">
        <v>1</v>
      </c>
      <c r="E10" s="55" t="s">
        <v>12</v>
      </c>
      <c r="F10" s="64">
        <v>300000000</v>
      </c>
      <c r="G10" s="64">
        <f>D10*F10</f>
        <v>300000000</v>
      </c>
      <c r="H10" s="55" t="s">
        <v>934</v>
      </c>
      <c r="I10" s="55" t="s">
        <v>836</v>
      </c>
      <c r="J10" s="65" t="s">
        <v>927</v>
      </c>
      <c r="K10" s="55" t="s">
        <v>71</v>
      </c>
      <c r="L10" s="51" t="s">
        <v>1087</v>
      </c>
    </row>
  </sheetData>
  <mergeCells count="6">
    <mergeCell ref="A1:L1"/>
    <mergeCell ref="A2:C2"/>
    <mergeCell ref="I2:L2"/>
    <mergeCell ref="A7:L7"/>
    <mergeCell ref="A8:C8"/>
    <mergeCell ref="I8:L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election activeCell="E20" sqref="E20"/>
    </sheetView>
  </sheetViews>
  <sheetFormatPr baseColWidth="10" defaultRowHeight="15" x14ac:dyDescent="0.25"/>
  <cols>
    <col min="1" max="1" width="5.7109375" customWidth="1"/>
    <col min="2" max="2" width="18.140625" customWidth="1"/>
    <col min="3" max="3" width="32.42578125" customWidth="1"/>
    <col min="4" max="4" width="7.28515625" customWidth="1"/>
    <col min="5" max="5" width="9.7109375" customWidth="1"/>
    <col min="6" max="6" width="15.28515625" customWidth="1"/>
    <col min="7" max="7" width="9.42578125" customWidth="1"/>
    <col min="8" max="9" width="10.140625" customWidth="1"/>
    <col min="10" max="10" width="21.85546875" customWidth="1"/>
  </cols>
  <sheetData>
    <row r="1" spans="1:10" x14ac:dyDescent="0.25">
      <c r="A1" s="179" t="s">
        <v>1101</v>
      </c>
      <c r="B1" s="181"/>
      <c r="C1" s="181"/>
      <c r="D1" s="181"/>
      <c r="E1" s="181"/>
      <c r="F1" s="181"/>
      <c r="G1" s="181"/>
      <c r="H1" s="181"/>
      <c r="I1" s="181"/>
      <c r="J1" s="181"/>
    </row>
    <row r="2" spans="1:10" x14ac:dyDescent="0.25">
      <c r="A2" s="185" t="s">
        <v>1068</v>
      </c>
      <c r="B2" s="182"/>
      <c r="C2" s="182"/>
      <c r="D2" s="63"/>
      <c r="E2" s="63"/>
      <c r="F2" s="63"/>
      <c r="G2" s="63"/>
      <c r="H2" s="184" t="s">
        <v>957</v>
      </c>
      <c r="I2" s="184"/>
      <c r="J2" s="184"/>
    </row>
    <row r="3" spans="1:10" ht="48.75" customHeight="1" x14ac:dyDescent="0.25">
      <c r="A3" s="50" t="s">
        <v>0</v>
      </c>
      <c r="B3" s="17" t="s">
        <v>2</v>
      </c>
      <c r="C3" s="16" t="s">
        <v>962</v>
      </c>
      <c r="D3" s="16" t="s">
        <v>4</v>
      </c>
      <c r="E3" s="16" t="s">
        <v>5</v>
      </c>
      <c r="F3" s="16" t="s">
        <v>357</v>
      </c>
      <c r="G3" s="16" t="s">
        <v>6</v>
      </c>
      <c r="H3" s="16" t="s">
        <v>926</v>
      </c>
      <c r="I3" s="16" t="s">
        <v>8</v>
      </c>
      <c r="J3" s="16" t="s">
        <v>923</v>
      </c>
    </row>
    <row r="4" spans="1:10" ht="56.25" x14ac:dyDescent="0.25">
      <c r="A4" s="1">
        <v>1</v>
      </c>
      <c r="B4" s="4" t="s">
        <v>11</v>
      </c>
      <c r="C4" s="7" t="s">
        <v>1140</v>
      </c>
      <c r="D4" s="72">
        <v>2</v>
      </c>
      <c r="E4" s="73">
        <v>3150000</v>
      </c>
      <c r="F4" s="73">
        <f>D4*E4</f>
        <v>6300000</v>
      </c>
      <c r="G4" s="4" t="s">
        <v>937</v>
      </c>
      <c r="H4" s="78" t="s">
        <v>938</v>
      </c>
      <c r="I4" s="4" t="s">
        <v>71</v>
      </c>
      <c r="J4" s="71" t="s">
        <v>939</v>
      </c>
    </row>
    <row r="5" spans="1:10" ht="72" x14ac:dyDescent="0.25">
      <c r="A5" s="2">
        <v>2</v>
      </c>
      <c r="B5" s="6" t="s">
        <v>14</v>
      </c>
      <c r="C5" s="7" t="s">
        <v>1140</v>
      </c>
      <c r="D5" s="72">
        <v>2</v>
      </c>
      <c r="E5" s="73">
        <v>3250000</v>
      </c>
      <c r="F5" s="73">
        <f t="shared" ref="F5:F10" si="0">D5*E5</f>
        <v>6500000</v>
      </c>
      <c r="G5" s="4" t="s">
        <v>937</v>
      </c>
      <c r="H5" s="78" t="s">
        <v>938</v>
      </c>
      <c r="I5" s="4" t="s">
        <v>71</v>
      </c>
      <c r="J5" s="80" t="s">
        <v>939</v>
      </c>
    </row>
    <row r="6" spans="1:10" ht="48" x14ac:dyDescent="0.25">
      <c r="A6" s="41">
        <v>3</v>
      </c>
      <c r="B6" s="51" t="s">
        <v>14</v>
      </c>
      <c r="C6" s="7" t="s">
        <v>1140</v>
      </c>
      <c r="D6" s="45">
        <v>1</v>
      </c>
      <c r="E6" s="77">
        <v>4500000</v>
      </c>
      <c r="F6" s="73">
        <f t="shared" si="0"/>
        <v>4500000</v>
      </c>
      <c r="G6" s="44" t="s">
        <v>937</v>
      </c>
      <c r="H6" s="79" t="s">
        <v>938</v>
      </c>
      <c r="I6" s="44" t="s">
        <v>71</v>
      </c>
      <c r="J6" s="40" t="s">
        <v>940</v>
      </c>
    </row>
    <row r="7" spans="1:10" ht="24" x14ac:dyDescent="0.25">
      <c r="A7" s="74">
        <v>4</v>
      </c>
      <c r="B7" s="41" t="s">
        <v>15</v>
      </c>
      <c r="C7" s="7" t="s">
        <v>1140</v>
      </c>
      <c r="D7" s="45">
        <v>1</v>
      </c>
      <c r="E7" s="77">
        <v>620000</v>
      </c>
      <c r="F7" s="73">
        <f t="shared" si="0"/>
        <v>620000</v>
      </c>
      <c r="G7" s="44" t="s">
        <v>937</v>
      </c>
      <c r="H7" s="79" t="s">
        <v>938</v>
      </c>
      <c r="I7" s="44">
        <v>4</v>
      </c>
      <c r="J7" s="40" t="s">
        <v>941</v>
      </c>
    </row>
    <row r="8" spans="1:10" ht="24" x14ac:dyDescent="0.25">
      <c r="A8" s="74">
        <v>5</v>
      </c>
      <c r="B8" s="41" t="s">
        <v>17</v>
      </c>
      <c r="C8" s="7" t="s">
        <v>1140</v>
      </c>
      <c r="D8" s="45">
        <v>1</v>
      </c>
      <c r="E8" s="77">
        <v>80000</v>
      </c>
      <c r="F8" s="73">
        <f t="shared" si="0"/>
        <v>80000</v>
      </c>
      <c r="G8" s="44" t="s">
        <v>937</v>
      </c>
      <c r="H8" s="79" t="s">
        <v>938</v>
      </c>
      <c r="I8" s="44" t="s">
        <v>71</v>
      </c>
      <c r="J8" s="40" t="s">
        <v>942</v>
      </c>
    </row>
    <row r="9" spans="1:10" ht="24" x14ac:dyDescent="0.25">
      <c r="A9" s="41">
        <v>6</v>
      </c>
      <c r="B9" s="41" t="s">
        <v>18</v>
      </c>
      <c r="C9" s="7" t="s">
        <v>1140</v>
      </c>
      <c r="D9" s="76">
        <v>1</v>
      </c>
      <c r="E9" s="77">
        <f>250000*3</f>
        <v>750000</v>
      </c>
      <c r="F9" s="73">
        <f t="shared" si="0"/>
        <v>750000</v>
      </c>
      <c r="G9" s="44" t="s">
        <v>937</v>
      </c>
      <c r="H9" s="79" t="s">
        <v>938</v>
      </c>
      <c r="I9" s="44" t="s">
        <v>71</v>
      </c>
      <c r="J9" s="40" t="s">
        <v>943</v>
      </c>
    </row>
    <row r="10" spans="1:10" ht="24" x14ac:dyDescent="0.25">
      <c r="A10" s="41">
        <v>7</v>
      </c>
      <c r="B10" s="75" t="s">
        <v>92</v>
      </c>
      <c r="C10" s="7" t="s">
        <v>1140</v>
      </c>
      <c r="D10" s="76">
        <v>1</v>
      </c>
      <c r="E10" s="77">
        <v>2950000</v>
      </c>
      <c r="F10" s="73">
        <f t="shared" si="0"/>
        <v>2950000</v>
      </c>
      <c r="G10" s="44" t="s">
        <v>937</v>
      </c>
      <c r="H10" s="79" t="s">
        <v>938</v>
      </c>
      <c r="I10" s="44" t="s">
        <v>71</v>
      </c>
      <c r="J10" s="40" t="s">
        <v>944</v>
      </c>
    </row>
    <row r="11" spans="1:10" x14ac:dyDescent="0.25">
      <c r="B11" s="81" t="s">
        <v>925</v>
      </c>
      <c r="F11" s="82">
        <f>SUM(F4:F10)</f>
        <v>21700000</v>
      </c>
    </row>
  </sheetData>
  <mergeCells count="3">
    <mergeCell ref="A1:J1"/>
    <mergeCell ref="H2:J2"/>
    <mergeCell ref="A2:C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topLeftCell="A16" workbookViewId="0">
      <selection activeCell="E37" sqref="E37"/>
    </sheetView>
  </sheetViews>
  <sheetFormatPr baseColWidth="10" defaultRowHeight="15" x14ac:dyDescent="0.25"/>
  <sheetData>
    <row r="1" spans="1:12" ht="15.75" x14ac:dyDescent="0.25">
      <c r="A1" s="229" t="s">
        <v>1187</v>
      </c>
      <c r="B1" s="230"/>
      <c r="C1" s="230"/>
      <c r="D1" s="230"/>
      <c r="E1" s="230"/>
      <c r="F1" s="230"/>
      <c r="G1" s="230"/>
      <c r="H1" s="230"/>
      <c r="I1" s="230"/>
      <c r="J1" s="230"/>
      <c r="K1" s="230"/>
      <c r="L1" s="231"/>
    </row>
    <row r="2" spans="1:12" ht="15.75" x14ac:dyDescent="0.25">
      <c r="A2" s="232" t="s">
        <v>1174</v>
      </c>
      <c r="B2" s="232"/>
      <c r="C2" s="232"/>
      <c r="D2" s="97"/>
      <c r="E2" s="97"/>
      <c r="F2" s="97"/>
      <c r="G2" s="97"/>
      <c r="H2" s="97"/>
      <c r="I2" s="232" t="s">
        <v>1175</v>
      </c>
      <c r="J2" s="232"/>
      <c r="K2" s="232"/>
      <c r="L2" s="232"/>
    </row>
    <row r="3" spans="1:12" ht="45" x14ac:dyDescent="0.25">
      <c r="A3" s="42" t="s">
        <v>0</v>
      </c>
      <c r="B3" s="42" t="s">
        <v>1</v>
      </c>
      <c r="C3" s="43" t="s">
        <v>2</v>
      </c>
      <c r="D3" s="42" t="s">
        <v>3</v>
      </c>
      <c r="E3" s="42" t="s">
        <v>4</v>
      </c>
      <c r="F3" s="42" t="s">
        <v>352</v>
      </c>
      <c r="G3" s="42" t="s">
        <v>9</v>
      </c>
      <c r="H3" s="42" t="s">
        <v>6</v>
      </c>
      <c r="I3" s="42" t="s">
        <v>7</v>
      </c>
      <c r="J3" s="42" t="s">
        <v>926</v>
      </c>
      <c r="K3" s="42" t="s">
        <v>8</v>
      </c>
      <c r="L3" s="42" t="s">
        <v>10</v>
      </c>
    </row>
    <row r="4" spans="1:12" ht="48" x14ac:dyDescent="0.25">
      <c r="A4" s="51">
        <v>1</v>
      </c>
      <c r="B4" s="51" t="s">
        <v>1188</v>
      </c>
      <c r="C4" s="51" t="s">
        <v>1173</v>
      </c>
      <c r="D4" s="55">
        <v>1</v>
      </c>
      <c r="E4" s="55" t="s">
        <v>12</v>
      </c>
      <c r="F4" s="64">
        <v>30000000</v>
      </c>
      <c r="G4" s="64">
        <f>D4*F4</f>
        <v>30000000</v>
      </c>
      <c r="H4" s="55" t="s">
        <v>934</v>
      </c>
      <c r="I4" s="55" t="s">
        <v>836</v>
      </c>
      <c r="J4" s="65" t="s">
        <v>927</v>
      </c>
      <c r="K4" s="55" t="s">
        <v>71</v>
      </c>
      <c r="L4" s="51" t="s">
        <v>1087</v>
      </c>
    </row>
    <row r="5" spans="1:12" x14ac:dyDescent="0.25">
      <c r="A5" s="240"/>
      <c r="B5" s="240"/>
      <c r="C5" s="240"/>
      <c r="D5" s="241"/>
      <c r="E5" s="241"/>
      <c r="F5" s="242"/>
      <c r="G5" s="242"/>
      <c r="H5" s="241"/>
      <c r="I5" s="241"/>
      <c r="J5" s="243"/>
      <c r="K5" s="241"/>
      <c r="L5" s="240"/>
    </row>
    <row r="7" spans="1:12" ht="15.75" x14ac:dyDescent="0.25">
      <c r="A7" s="229" t="s">
        <v>1176</v>
      </c>
      <c r="B7" s="230"/>
      <c r="C7" s="230"/>
      <c r="D7" s="230"/>
      <c r="E7" s="230"/>
      <c r="F7" s="230"/>
      <c r="G7" s="230"/>
      <c r="H7" s="230"/>
      <c r="I7" s="230"/>
      <c r="J7" s="230"/>
      <c r="K7" s="230"/>
      <c r="L7" s="231"/>
    </row>
    <row r="8" spans="1:12" ht="15.75" x14ac:dyDescent="0.25">
      <c r="A8" s="232" t="s">
        <v>1178</v>
      </c>
      <c r="B8" s="232"/>
      <c r="C8" s="232"/>
      <c r="D8" s="97"/>
      <c r="E8" s="97"/>
      <c r="F8" s="97"/>
      <c r="G8" s="97"/>
      <c r="H8" s="97"/>
      <c r="I8" s="232" t="s">
        <v>1177</v>
      </c>
      <c r="J8" s="232"/>
      <c r="K8" s="232"/>
      <c r="L8" s="232"/>
    </row>
    <row r="9" spans="1:12" ht="45" x14ac:dyDescent="0.25">
      <c r="A9" s="42" t="s">
        <v>0</v>
      </c>
      <c r="B9" s="42" t="s">
        <v>1</v>
      </c>
      <c r="C9" s="43" t="s">
        <v>2</v>
      </c>
      <c r="D9" s="42" t="s">
        <v>3</v>
      </c>
      <c r="E9" s="42" t="s">
        <v>4</v>
      </c>
      <c r="F9" s="42" t="s">
        <v>352</v>
      </c>
      <c r="G9" s="42" t="s">
        <v>9</v>
      </c>
      <c r="H9" s="42" t="s">
        <v>6</v>
      </c>
      <c r="I9" s="42" t="s">
        <v>7</v>
      </c>
      <c r="J9" s="42" t="s">
        <v>926</v>
      </c>
      <c r="K9" s="42" t="s">
        <v>8</v>
      </c>
      <c r="L9" s="42" t="s">
        <v>10</v>
      </c>
    </row>
    <row r="10" spans="1:12" ht="48" x14ac:dyDescent="0.25">
      <c r="A10" s="51">
        <v>1</v>
      </c>
      <c r="B10" s="51" t="s">
        <v>1185</v>
      </c>
      <c r="C10" s="51" t="s">
        <v>1173</v>
      </c>
      <c r="D10" s="55">
        <v>1</v>
      </c>
      <c r="E10" s="55" t="s">
        <v>12</v>
      </c>
      <c r="F10" s="64">
        <v>99443412</v>
      </c>
      <c r="G10" s="64">
        <f>D10*F10</f>
        <v>99443412</v>
      </c>
      <c r="H10" s="55" t="s">
        <v>934</v>
      </c>
      <c r="I10" s="55" t="s">
        <v>836</v>
      </c>
      <c r="J10" s="65" t="s">
        <v>927</v>
      </c>
      <c r="K10" s="55" t="s">
        <v>71</v>
      </c>
      <c r="L10" s="51" t="s">
        <v>1087</v>
      </c>
    </row>
    <row r="13" spans="1:12" ht="15.75" x14ac:dyDescent="0.25">
      <c r="A13" s="229" t="s">
        <v>1180</v>
      </c>
      <c r="B13" s="230"/>
      <c r="C13" s="230"/>
      <c r="D13" s="230"/>
      <c r="E13" s="230"/>
      <c r="F13" s="230"/>
      <c r="G13" s="230"/>
      <c r="H13" s="230"/>
      <c r="I13" s="230"/>
      <c r="J13" s="230"/>
      <c r="K13" s="230"/>
      <c r="L13" s="231"/>
    </row>
    <row r="14" spans="1:12" ht="15.75" x14ac:dyDescent="0.25">
      <c r="A14" s="232" t="s">
        <v>1179</v>
      </c>
      <c r="B14" s="232"/>
      <c r="C14" s="232"/>
      <c r="D14" s="97"/>
      <c r="E14" s="97"/>
      <c r="F14" s="97"/>
      <c r="G14" s="97"/>
      <c r="H14" s="97"/>
      <c r="I14" s="232" t="s">
        <v>1181</v>
      </c>
      <c r="J14" s="232"/>
      <c r="K14" s="232"/>
      <c r="L14" s="232"/>
    </row>
    <row r="15" spans="1:12" ht="45" x14ac:dyDescent="0.25">
      <c r="A15" s="42" t="s">
        <v>0</v>
      </c>
      <c r="B15" s="42" t="s">
        <v>1</v>
      </c>
      <c r="C15" s="43" t="s">
        <v>2</v>
      </c>
      <c r="D15" s="42" t="s">
        <v>3</v>
      </c>
      <c r="E15" s="42" t="s">
        <v>4</v>
      </c>
      <c r="F15" s="42" t="s">
        <v>352</v>
      </c>
      <c r="G15" s="42" t="s">
        <v>9</v>
      </c>
      <c r="H15" s="42" t="s">
        <v>6</v>
      </c>
      <c r="I15" s="42" t="s">
        <v>7</v>
      </c>
      <c r="J15" s="42" t="s">
        <v>926</v>
      </c>
      <c r="K15" s="42" t="s">
        <v>8</v>
      </c>
      <c r="L15" s="42" t="s">
        <v>10</v>
      </c>
    </row>
    <row r="16" spans="1:12" ht="48" x14ac:dyDescent="0.25">
      <c r="A16" s="51">
        <v>1</v>
      </c>
      <c r="B16" s="51" t="s">
        <v>1184</v>
      </c>
      <c r="C16" s="51" t="s">
        <v>1173</v>
      </c>
      <c r="D16" s="55">
        <v>1</v>
      </c>
      <c r="E16" s="55" t="s">
        <v>12</v>
      </c>
      <c r="F16" s="64">
        <v>110000000</v>
      </c>
      <c r="G16" s="64">
        <f t="shared" ref="G16" si="0">D16*F16</f>
        <v>110000000</v>
      </c>
      <c r="H16" s="55" t="s">
        <v>934</v>
      </c>
      <c r="I16" s="55" t="s">
        <v>836</v>
      </c>
      <c r="J16" s="65" t="s">
        <v>927</v>
      </c>
      <c r="K16" s="55" t="s">
        <v>71</v>
      </c>
      <c r="L16" s="51" t="s">
        <v>1087</v>
      </c>
    </row>
    <row r="19" spans="1:12" ht="15.75" x14ac:dyDescent="0.25">
      <c r="A19" s="229" t="s">
        <v>1189</v>
      </c>
      <c r="B19" s="230"/>
      <c r="C19" s="230"/>
      <c r="D19" s="230"/>
      <c r="E19" s="230"/>
      <c r="F19" s="230"/>
      <c r="G19" s="230"/>
      <c r="H19" s="230"/>
      <c r="I19" s="230"/>
      <c r="J19" s="230"/>
      <c r="K19" s="230"/>
      <c r="L19" s="231"/>
    </row>
    <row r="20" spans="1:12" ht="15.75" x14ac:dyDescent="0.25">
      <c r="A20" s="232" t="s">
        <v>1183</v>
      </c>
      <c r="B20" s="232"/>
      <c r="C20" s="232"/>
      <c r="D20" s="97"/>
      <c r="E20" s="97"/>
      <c r="F20" s="97"/>
      <c r="G20" s="97"/>
      <c r="H20" s="97"/>
      <c r="I20" s="232" t="s">
        <v>1182</v>
      </c>
      <c r="J20" s="232"/>
      <c r="K20" s="232"/>
      <c r="L20" s="232"/>
    </row>
    <row r="21" spans="1:12" ht="45" x14ac:dyDescent="0.25">
      <c r="A21" s="42" t="s">
        <v>0</v>
      </c>
      <c r="B21" s="42" t="s">
        <v>1</v>
      </c>
      <c r="C21" s="43" t="s">
        <v>2</v>
      </c>
      <c r="D21" s="42" t="s">
        <v>3</v>
      </c>
      <c r="E21" s="42" t="s">
        <v>4</v>
      </c>
      <c r="F21" s="42" t="s">
        <v>352</v>
      </c>
      <c r="G21" s="42" t="s">
        <v>9</v>
      </c>
      <c r="H21" s="42" t="s">
        <v>6</v>
      </c>
      <c r="I21" s="42" t="s">
        <v>7</v>
      </c>
      <c r="J21" s="42" t="s">
        <v>926</v>
      </c>
      <c r="K21" s="42" t="s">
        <v>8</v>
      </c>
      <c r="L21" s="42" t="s">
        <v>10</v>
      </c>
    </row>
    <row r="22" spans="1:12" ht="48" x14ac:dyDescent="0.25">
      <c r="A22" s="51">
        <v>1</v>
      </c>
      <c r="B22" s="51" t="s">
        <v>1186</v>
      </c>
      <c r="C22" s="51" t="s">
        <v>1173</v>
      </c>
      <c r="D22" s="55">
        <v>1</v>
      </c>
      <c r="E22" s="55" t="s">
        <v>12</v>
      </c>
      <c r="F22" s="64">
        <v>35000000</v>
      </c>
      <c r="G22" s="64">
        <f t="shared" ref="G22" si="1">D22*F22</f>
        <v>35000000</v>
      </c>
      <c r="H22" s="55" t="s">
        <v>934</v>
      </c>
      <c r="I22" s="55" t="s">
        <v>836</v>
      </c>
      <c r="J22" s="65" t="s">
        <v>927</v>
      </c>
      <c r="K22" s="55" t="s">
        <v>71</v>
      </c>
      <c r="L22" s="51" t="s">
        <v>1087</v>
      </c>
    </row>
    <row r="25" spans="1:12" ht="15.75" x14ac:dyDescent="0.25">
      <c r="A25" s="229" t="s">
        <v>1190</v>
      </c>
      <c r="B25" s="230"/>
      <c r="C25" s="230"/>
      <c r="D25" s="230"/>
      <c r="E25" s="230"/>
      <c r="F25" s="230"/>
      <c r="G25" s="230"/>
      <c r="H25" s="230"/>
      <c r="I25" s="230"/>
      <c r="J25" s="230"/>
      <c r="K25" s="230"/>
      <c r="L25" s="231"/>
    </row>
    <row r="26" spans="1:12" ht="15.75" x14ac:dyDescent="0.25">
      <c r="A26" s="232" t="s">
        <v>1193</v>
      </c>
      <c r="B26" s="232"/>
      <c r="C26" s="232"/>
      <c r="D26" s="97"/>
      <c r="E26" s="97"/>
      <c r="F26" s="97"/>
      <c r="G26" s="97"/>
      <c r="H26" s="97"/>
      <c r="I26" s="232" t="s">
        <v>1194</v>
      </c>
      <c r="J26" s="232"/>
      <c r="K26" s="232"/>
      <c r="L26" s="232"/>
    </row>
    <row r="27" spans="1:12" ht="45" x14ac:dyDescent="0.25">
      <c r="A27" s="42" t="s">
        <v>0</v>
      </c>
      <c r="B27" s="42" t="s">
        <v>1</v>
      </c>
      <c r="C27" s="43" t="s">
        <v>2</v>
      </c>
      <c r="D27" s="42" t="s">
        <v>3</v>
      </c>
      <c r="E27" s="42" t="s">
        <v>4</v>
      </c>
      <c r="F27" s="42" t="s">
        <v>352</v>
      </c>
      <c r="G27" s="42" t="s">
        <v>9</v>
      </c>
      <c r="H27" s="42" t="s">
        <v>6</v>
      </c>
      <c r="I27" s="42" t="s">
        <v>7</v>
      </c>
      <c r="J27" s="42" t="s">
        <v>926</v>
      </c>
      <c r="K27" s="42" t="s">
        <v>8</v>
      </c>
      <c r="L27" s="42" t="s">
        <v>10</v>
      </c>
    </row>
    <row r="28" spans="1:12" ht="72" x14ac:dyDescent="0.25">
      <c r="A28" s="51">
        <v>1</v>
      </c>
      <c r="B28" s="51" t="s">
        <v>1191</v>
      </c>
      <c r="C28" s="51" t="s">
        <v>1192</v>
      </c>
      <c r="D28" s="55">
        <v>1</v>
      </c>
      <c r="E28" s="55" t="s">
        <v>12</v>
      </c>
      <c r="F28" s="64">
        <v>134323200</v>
      </c>
      <c r="G28" s="64">
        <f t="shared" ref="G28" si="2">D28*F28</f>
        <v>134323200</v>
      </c>
      <c r="H28" s="55" t="s">
        <v>934</v>
      </c>
      <c r="I28" s="55" t="s">
        <v>836</v>
      </c>
      <c r="J28" s="65" t="s">
        <v>927</v>
      </c>
      <c r="K28" s="55" t="s">
        <v>71</v>
      </c>
      <c r="L28" s="51" t="s">
        <v>1087</v>
      </c>
    </row>
    <row r="31" spans="1:12" ht="15.75" x14ac:dyDescent="0.25">
      <c r="A31" s="229" t="s">
        <v>1190</v>
      </c>
      <c r="B31" s="230"/>
      <c r="C31" s="230"/>
      <c r="D31" s="230"/>
      <c r="E31" s="230"/>
      <c r="F31" s="230"/>
      <c r="G31" s="230"/>
      <c r="H31" s="230"/>
      <c r="I31" s="230"/>
      <c r="J31" s="230"/>
      <c r="K31" s="230"/>
      <c r="L31" s="231"/>
    </row>
    <row r="32" spans="1:12" ht="15.75" x14ac:dyDescent="0.25">
      <c r="A32" s="232" t="s">
        <v>1195</v>
      </c>
      <c r="B32" s="232"/>
      <c r="C32" s="232"/>
      <c r="D32" s="97"/>
      <c r="E32" s="97"/>
      <c r="F32" s="97"/>
      <c r="G32" s="97"/>
      <c r="H32" s="97"/>
      <c r="I32" s="232" t="s">
        <v>1196</v>
      </c>
      <c r="J32" s="232"/>
      <c r="K32" s="232"/>
      <c r="L32" s="232"/>
    </row>
    <row r="33" spans="1:12" ht="45" x14ac:dyDescent="0.25">
      <c r="A33" s="42" t="s">
        <v>0</v>
      </c>
      <c r="B33" s="42" t="s">
        <v>1</v>
      </c>
      <c r="C33" s="43" t="s">
        <v>2</v>
      </c>
      <c r="D33" s="42" t="s">
        <v>3</v>
      </c>
      <c r="E33" s="42" t="s">
        <v>4</v>
      </c>
      <c r="F33" s="42" t="s">
        <v>352</v>
      </c>
      <c r="G33" s="42" t="s">
        <v>9</v>
      </c>
      <c r="H33" s="42" t="s">
        <v>6</v>
      </c>
      <c r="I33" s="42" t="s">
        <v>7</v>
      </c>
      <c r="J33" s="42" t="s">
        <v>926</v>
      </c>
      <c r="K33" s="42" t="s">
        <v>8</v>
      </c>
      <c r="L33" s="42" t="s">
        <v>10</v>
      </c>
    </row>
    <row r="34" spans="1:12" ht="72" x14ac:dyDescent="0.25">
      <c r="A34" s="51">
        <v>1</v>
      </c>
      <c r="B34" s="51" t="s">
        <v>1191</v>
      </c>
      <c r="C34" s="51" t="s">
        <v>1192</v>
      </c>
      <c r="D34" s="55">
        <v>1</v>
      </c>
      <c r="E34" s="55" t="s">
        <v>12</v>
      </c>
      <c r="F34" s="64">
        <v>159034520</v>
      </c>
      <c r="G34" s="64">
        <f t="shared" ref="G34" si="3">D34*F34</f>
        <v>159034520</v>
      </c>
      <c r="H34" s="55" t="s">
        <v>934</v>
      </c>
      <c r="I34" s="55" t="s">
        <v>836</v>
      </c>
      <c r="J34" s="65" t="s">
        <v>927</v>
      </c>
      <c r="K34" s="55" t="s">
        <v>71</v>
      </c>
      <c r="L34" s="51" t="s">
        <v>1087</v>
      </c>
    </row>
  </sheetData>
  <mergeCells count="18">
    <mergeCell ref="A25:L25"/>
    <mergeCell ref="A26:C26"/>
    <mergeCell ref="I26:L26"/>
    <mergeCell ref="A31:L31"/>
    <mergeCell ref="A32:C32"/>
    <mergeCell ref="I32:L32"/>
    <mergeCell ref="A19:L19"/>
    <mergeCell ref="A20:C20"/>
    <mergeCell ref="I20:L20"/>
    <mergeCell ref="A13:L13"/>
    <mergeCell ref="A14:C14"/>
    <mergeCell ref="I14:L14"/>
    <mergeCell ref="A1:L1"/>
    <mergeCell ref="A2:C2"/>
    <mergeCell ref="I2:L2"/>
    <mergeCell ref="A7:L7"/>
    <mergeCell ref="A8:C8"/>
    <mergeCell ref="I8:L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T52"/>
  <sheetViews>
    <sheetView tabSelected="1" topLeftCell="C10" workbookViewId="0">
      <selection activeCell="H28" sqref="H28"/>
    </sheetView>
  </sheetViews>
  <sheetFormatPr baseColWidth="10" defaultRowHeight="15" x14ac:dyDescent="0.25"/>
  <cols>
    <col min="3" max="3" width="6.140625" customWidth="1"/>
    <col min="4" max="4" width="26.42578125" customWidth="1"/>
    <col min="5" max="5" width="17.42578125" customWidth="1"/>
    <col min="6" max="6" width="7.140625" customWidth="1"/>
    <col min="7" max="7" width="6.7109375" customWidth="1"/>
    <col min="8" max="8" width="13.85546875" customWidth="1"/>
    <col min="9" max="9" width="12.7109375" customWidth="1"/>
    <col min="14" max="14" width="12.5703125" customWidth="1"/>
  </cols>
  <sheetData>
    <row r="3" spans="3:15" ht="29.25" customHeight="1" x14ac:dyDescent="0.25">
      <c r="C3" s="225" t="s">
        <v>1152</v>
      </c>
      <c r="D3" s="233"/>
      <c r="E3" s="233"/>
      <c r="F3" s="233"/>
      <c r="G3" s="233"/>
      <c r="H3" s="233"/>
      <c r="I3" s="233"/>
      <c r="J3" s="233"/>
      <c r="K3" s="233"/>
      <c r="L3" s="233"/>
      <c r="M3" s="233"/>
      <c r="N3" s="234"/>
      <c r="O3" s="238"/>
    </row>
    <row r="4" spans="3:15" ht="15.75" x14ac:dyDescent="0.25">
      <c r="C4" s="228" t="s">
        <v>1197</v>
      </c>
      <c r="D4" s="214"/>
      <c r="E4" s="215"/>
      <c r="F4" s="235"/>
      <c r="G4" s="236"/>
      <c r="H4" s="236"/>
      <c r="I4" s="237"/>
      <c r="J4" s="228" t="s">
        <v>1153</v>
      </c>
      <c r="K4" s="214"/>
      <c r="L4" s="214"/>
      <c r="M4" s="214"/>
      <c r="N4" s="215"/>
      <c r="O4" s="238"/>
    </row>
    <row r="5" spans="3:15" ht="35.25" customHeight="1" x14ac:dyDescent="0.25">
      <c r="C5" s="171" t="s">
        <v>1147</v>
      </c>
      <c r="D5" s="172" t="s">
        <v>1148</v>
      </c>
      <c r="E5" s="173" t="s">
        <v>964</v>
      </c>
      <c r="F5" s="173" t="s">
        <v>3</v>
      </c>
      <c r="G5" s="173" t="s">
        <v>1149</v>
      </c>
      <c r="H5" s="173" t="s">
        <v>963</v>
      </c>
      <c r="I5" s="173" t="s">
        <v>1150</v>
      </c>
      <c r="J5" s="173" t="s">
        <v>6</v>
      </c>
      <c r="K5" s="173" t="s">
        <v>7</v>
      </c>
      <c r="L5" s="173" t="s">
        <v>926</v>
      </c>
      <c r="M5" s="173" t="s">
        <v>1151</v>
      </c>
      <c r="N5" s="173"/>
      <c r="O5" s="238"/>
    </row>
    <row r="6" spans="3:15" ht="72" x14ac:dyDescent="0.25">
      <c r="C6" s="83">
        <v>1</v>
      </c>
      <c r="D6" s="51" t="s">
        <v>1134</v>
      </c>
      <c r="E6" s="40" t="s">
        <v>1135</v>
      </c>
      <c r="F6" s="83">
        <v>1</v>
      </c>
      <c r="G6" s="83" t="s">
        <v>12</v>
      </c>
      <c r="H6" s="66">
        <v>231441728</v>
      </c>
      <c r="I6" s="66">
        <f>F6*H6</f>
        <v>231441728</v>
      </c>
      <c r="J6" s="83" t="s">
        <v>934</v>
      </c>
      <c r="K6" s="51" t="s">
        <v>1136</v>
      </c>
      <c r="L6" s="51" t="s">
        <v>13</v>
      </c>
      <c r="M6" s="83" t="s">
        <v>71</v>
      </c>
      <c r="N6" s="51" t="s">
        <v>1138</v>
      </c>
      <c r="O6" s="238"/>
    </row>
    <row r="7" spans="3:15" ht="15.75" x14ac:dyDescent="0.25">
      <c r="C7" s="176"/>
      <c r="D7" s="177"/>
      <c r="E7" s="177"/>
      <c r="F7" s="176"/>
      <c r="G7" s="176"/>
      <c r="H7" s="177"/>
      <c r="I7" s="177"/>
      <c r="J7" s="176"/>
      <c r="K7" s="176"/>
      <c r="L7" s="176"/>
      <c r="M7" s="176"/>
      <c r="N7" s="176"/>
      <c r="O7" s="161"/>
    </row>
    <row r="8" spans="3:15" ht="15.75" x14ac:dyDescent="0.25">
      <c r="C8" s="176"/>
      <c r="D8" s="177"/>
      <c r="E8" s="177"/>
      <c r="F8" s="176"/>
      <c r="G8" s="176"/>
      <c r="H8" s="177"/>
      <c r="I8" s="177"/>
      <c r="J8" s="176"/>
      <c r="K8" s="176"/>
      <c r="L8" s="176"/>
      <c r="M8" s="176"/>
      <c r="N8" s="176"/>
      <c r="O8" s="161"/>
    </row>
    <row r="9" spans="3:15" ht="15.75" x14ac:dyDescent="0.25">
      <c r="C9" s="176"/>
      <c r="D9" s="177"/>
      <c r="E9" s="177"/>
      <c r="F9" s="176"/>
      <c r="G9" s="176"/>
      <c r="H9" s="177"/>
      <c r="I9" s="177"/>
      <c r="J9" s="176"/>
      <c r="K9" s="176"/>
      <c r="L9" s="176"/>
      <c r="M9" s="176"/>
      <c r="N9" s="176"/>
      <c r="O9" s="161"/>
    </row>
    <row r="10" spans="3:15" ht="34.5" customHeight="1" x14ac:dyDescent="0.25">
      <c r="C10" s="225" t="s">
        <v>1155</v>
      </c>
      <c r="D10" s="233"/>
      <c r="E10" s="233"/>
      <c r="F10" s="233"/>
      <c r="G10" s="233"/>
      <c r="H10" s="233"/>
      <c r="I10" s="233"/>
      <c r="J10" s="233"/>
      <c r="K10" s="233"/>
      <c r="L10" s="233"/>
      <c r="M10" s="233"/>
      <c r="N10" s="234"/>
      <c r="O10" s="161"/>
    </row>
    <row r="11" spans="3:15" ht="15.75" x14ac:dyDescent="0.25">
      <c r="C11" s="228" t="s">
        <v>1198</v>
      </c>
      <c r="D11" s="214"/>
      <c r="E11" s="215"/>
      <c r="F11" s="235"/>
      <c r="G11" s="236"/>
      <c r="H11" s="236"/>
      <c r="I11" s="237"/>
      <c r="J11" s="228" t="s">
        <v>1154</v>
      </c>
      <c r="K11" s="214"/>
      <c r="L11" s="214"/>
      <c r="M11" s="214"/>
      <c r="N11" s="215"/>
      <c r="O11" s="161"/>
    </row>
    <row r="12" spans="3:15" ht="33.75" x14ac:dyDescent="0.25">
      <c r="C12" s="171" t="s">
        <v>1147</v>
      </c>
      <c r="D12" s="172" t="s">
        <v>1148</v>
      </c>
      <c r="E12" s="173" t="s">
        <v>964</v>
      </c>
      <c r="F12" s="173" t="s">
        <v>3</v>
      </c>
      <c r="G12" s="173" t="s">
        <v>1149</v>
      </c>
      <c r="H12" s="173" t="s">
        <v>963</v>
      </c>
      <c r="I12" s="173" t="s">
        <v>1150</v>
      </c>
      <c r="J12" s="173" t="s">
        <v>6</v>
      </c>
      <c r="K12" s="173" t="s">
        <v>7</v>
      </c>
      <c r="L12" s="173" t="s">
        <v>926</v>
      </c>
      <c r="M12" s="173" t="s">
        <v>1151</v>
      </c>
      <c r="N12" s="173"/>
      <c r="O12" s="161"/>
    </row>
    <row r="13" spans="3:15" ht="72" x14ac:dyDescent="0.25">
      <c r="C13" s="83">
        <v>1</v>
      </c>
      <c r="D13" s="51" t="s">
        <v>1134</v>
      </c>
      <c r="E13" s="40" t="s">
        <v>1135</v>
      </c>
      <c r="F13" s="83">
        <v>1</v>
      </c>
      <c r="G13" s="83" t="s">
        <v>12</v>
      </c>
      <c r="H13" s="66">
        <v>1733311301</v>
      </c>
      <c r="I13" s="66">
        <f>F13*H13</f>
        <v>1733311301</v>
      </c>
      <c r="J13" s="83" t="s">
        <v>934</v>
      </c>
      <c r="K13" s="51" t="s">
        <v>1136</v>
      </c>
      <c r="L13" s="51" t="s">
        <v>1136</v>
      </c>
      <c r="M13" s="83" t="s">
        <v>71</v>
      </c>
      <c r="N13" s="51" t="s">
        <v>1138</v>
      </c>
      <c r="O13" s="161"/>
    </row>
    <row r="16" spans="3:15" ht="15.75" x14ac:dyDescent="0.25">
      <c r="C16" s="225" t="s">
        <v>1199</v>
      </c>
      <c r="D16" s="233"/>
      <c r="E16" s="233"/>
      <c r="F16" s="233"/>
      <c r="G16" s="233"/>
      <c r="H16" s="233"/>
      <c r="I16" s="233"/>
      <c r="J16" s="233"/>
      <c r="K16" s="233"/>
      <c r="L16" s="233"/>
      <c r="M16" s="233"/>
      <c r="N16" s="234"/>
    </row>
    <row r="17" spans="3:17" ht="15.75" x14ac:dyDescent="0.25">
      <c r="C17" s="228" t="s">
        <v>1200</v>
      </c>
      <c r="D17" s="214"/>
      <c r="E17" s="215"/>
      <c r="F17" s="235"/>
      <c r="G17" s="236"/>
      <c r="H17" s="236"/>
      <c r="I17" s="237"/>
      <c r="J17" s="228" t="s">
        <v>1201</v>
      </c>
      <c r="K17" s="214"/>
      <c r="L17" s="214"/>
      <c r="M17" s="214"/>
      <c r="N17" s="215"/>
    </row>
    <row r="18" spans="3:17" ht="33.75" x14ac:dyDescent="0.25">
      <c r="C18" s="171" t="s">
        <v>1147</v>
      </c>
      <c r="D18" s="172" t="s">
        <v>1148</v>
      </c>
      <c r="E18" s="173" t="s">
        <v>964</v>
      </c>
      <c r="F18" s="173" t="s">
        <v>3</v>
      </c>
      <c r="G18" s="173" t="s">
        <v>1149</v>
      </c>
      <c r="H18" s="173" t="s">
        <v>963</v>
      </c>
      <c r="I18" s="173" t="s">
        <v>1150</v>
      </c>
      <c r="J18" s="173" t="s">
        <v>6</v>
      </c>
      <c r="K18" s="173" t="s">
        <v>7</v>
      </c>
      <c r="L18" s="173" t="s">
        <v>926</v>
      </c>
      <c r="M18" s="173" t="s">
        <v>1151</v>
      </c>
      <c r="N18" s="173"/>
      <c r="Q18" t="s">
        <v>1161</v>
      </c>
    </row>
    <row r="19" spans="3:17" ht="72" x14ac:dyDescent="0.25">
      <c r="C19" s="83">
        <v>1</v>
      </c>
      <c r="D19" s="51" t="s">
        <v>1134</v>
      </c>
      <c r="E19" s="40" t="s">
        <v>1135</v>
      </c>
      <c r="F19" s="83">
        <v>1</v>
      </c>
      <c r="G19" s="83" t="s">
        <v>12</v>
      </c>
      <c r="H19" s="66">
        <v>1733311301</v>
      </c>
      <c r="I19" s="66">
        <f>F19*H19</f>
        <v>1733311301</v>
      </c>
      <c r="J19" s="83" t="s">
        <v>934</v>
      </c>
      <c r="K19" s="51" t="s">
        <v>1136</v>
      </c>
      <c r="L19" s="51" t="s">
        <v>1136</v>
      </c>
      <c r="M19" s="83" t="s">
        <v>71</v>
      </c>
      <c r="N19" s="51" t="s">
        <v>1138</v>
      </c>
    </row>
    <row r="20" spans="3:17" x14ac:dyDescent="0.25">
      <c r="C20" s="176"/>
      <c r="D20" s="240"/>
      <c r="E20" s="177"/>
      <c r="F20" s="176"/>
      <c r="G20" s="176"/>
      <c r="H20" s="244"/>
      <c r="I20" s="244"/>
      <c r="J20" s="176"/>
      <c r="K20" s="240"/>
      <c r="L20" s="240"/>
      <c r="M20" s="176"/>
      <c r="N20" s="240"/>
    </row>
    <row r="21" spans="3:17" x14ac:dyDescent="0.25">
      <c r="C21" s="176"/>
      <c r="D21" s="240"/>
      <c r="E21" s="177"/>
      <c r="F21" s="176"/>
      <c r="G21" s="176"/>
      <c r="H21" s="244"/>
      <c r="I21" s="244"/>
      <c r="J21" s="176"/>
      <c r="K21" s="240"/>
      <c r="L21" s="240"/>
      <c r="M21" s="176"/>
      <c r="N21" s="240"/>
    </row>
    <row r="23" spans="3:17" ht="29.25" customHeight="1" x14ac:dyDescent="0.25">
      <c r="C23" s="225" t="s">
        <v>1156</v>
      </c>
      <c r="D23" s="233"/>
      <c r="E23" s="233"/>
      <c r="F23" s="233"/>
      <c r="G23" s="233"/>
      <c r="H23" s="233"/>
      <c r="I23" s="233"/>
      <c r="J23" s="233"/>
      <c r="K23" s="233"/>
      <c r="L23" s="233"/>
      <c r="M23" s="233"/>
      <c r="N23" s="234"/>
    </row>
    <row r="24" spans="3:17" ht="15.75" x14ac:dyDescent="0.25">
      <c r="C24" s="228" t="s">
        <v>1159</v>
      </c>
      <c r="D24" s="214"/>
      <c r="E24" s="215"/>
      <c r="F24" s="235"/>
      <c r="G24" s="236"/>
      <c r="H24" s="236"/>
      <c r="I24" s="237"/>
      <c r="J24" s="228" t="s">
        <v>1160</v>
      </c>
      <c r="K24" s="214"/>
      <c r="L24" s="214"/>
      <c r="M24" s="214"/>
      <c r="N24" s="215"/>
    </row>
    <row r="25" spans="3:17" ht="33.75" customHeight="1" x14ac:dyDescent="0.25">
      <c r="C25" s="174" t="s">
        <v>1147</v>
      </c>
      <c r="D25" s="174" t="s">
        <v>1148</v>
      </c>
      <c r="E25" s="171" t="s">
        <v>964</v>
      </c>
      <c r="F25" s="174" t="s">
        <v>3</v>
      </c>
      <c r="G25" s="174" t="s">
        <v>1149</v>
      </c>
      <c r="H25" s="171" t="s">
        <v>963</v>
      </c>
      <c r="I25" s="174" t="s">
        <v>1150</v>
      </c>
      <c r="J25" s="171" t="s">
        <v>6</v>
      </c>
      <c r="K25" s="173" t="s">
        <v>7</v>
      </c>
      <c r="L25" s="174" t="s">
        <v>926</v>
      </c>
      <c r="M25" s="173" t="s">
        <v>1151</v>
      </c>
      <c r="N25" s="174"/>
      <c r="O25" s="175"/>
    </row>
    <row r="26" spans="3:17" ht="60" x14ac:dyDescent="0.25">
      <c r="C26" s="83">
        <v>1</v>
      </c>
      <c r="D26" s="40" t="s">
        <v>1157</v>
      </c>
      <c r="E26" s="40" t="s">
        <v>1158</v>
      </c>
      <c r="F26" s="83">
        <v>1</v>
      </c>
      <c r="G26" s="83" t="s">
        <v>12</v>
      </c>
      <c r="H26" s="66">
        <f>244000000-6000000</f>
        <v>238000000</v>
      </c>
      <c r="I26" s="66">
        <f>F26*H26</f>
        <v>238000000</v>
      </c>
      <c r="J26" s="83" t="s">
        <v>934</v>
      </c>
      <c r="K26" s="51" t="s">
        <v>70</v>
      </c>
      <c r="L26" s="51" t="s">
        <v>1136</v>
      </c>
      <c r="M26" s="83" t="s">
        <v>71</v>
      </c>
      <c r="N26" s="51" t="s">
        <v>1138</v>
      </c>
    </row>
    <row r="27" spans="3:17" ht="60" x14ac:dyDescent="0.25">
      <c r="C27" s="83"/>
      <c r="D27" s="40" t="s">
        <v>1137</v>
      </c>
      <c r="E27" s="40" t="s">
        <v>1158</v>
      </c>
      <c r="F27" s="83">
        <v>3</v>
      </c>
      <c r="G27" s="83"/>
      <c r="H27" s="66">
        <v>2000000</v>
      </c>
      <c r="I27" s="66">
        <f>F27*H27</f>
        <v>6000000</v>
      </c>
      <c r="J27" s="83" t="s">
        <v>934</v>
      </c>
      <c r="K27" s="51" t="s">
        <v>70</v>
      </c>
      <c r="L27" s="51" t="s">
        <v>1136</v>
      </c>
      <c r="M27" s="83" t="s">
        <v>71</v>
      </c>
      <c r="N27" s="51" t="s">
        <v>1138</v>
      </c>
    </row>
    <row r="51" spans="19:20" x14ac:dyDescent="0.25">
      <c r="S51" t="s">
        <v>13</v>
      </c>
    </row>
    <row r="52" spans="19:20" x14ac:dyDescent="0.25">
      <c r="T52" t="s">
        <v>13</v>
      </c>
    </row>
  </sheetData>
  <mergeCells count="17">
    <mergeCell ref="C24:E24"/>
    <mergeCell ref="F24:I24"/>
    <mergeCell ref="J24:N24"/>
    <mergeCell ref="C4:E4"/>
    <mergeCell ref="C10:N10"/>
    <mergeCell ref="C11:E11"/>
    <mergeCell ref="F11:I11"/>
    <mergeCell ref="J11:N11"/>
    <mergeCell ref="C16:N16"/>
    <mergeCell ref="C17:E17"/>
    <mergeCell ref="F17:I17"/>
    <mergeCell ref="J17:N17"/>
    <mergeCell ref="C3:N3"/>
    <mergeCell ref="J4:N4"/>
    <mergeCell ref="F4:I4"/>
    <mergeCell ref="O3:O6"/>
    <mergeCell ref="C23:N2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N9" sqref="N9"/>
    </sheetView>
  </sheetViews>
  <sheetFormatPr baseColWidth="10" defaultRowHeight="15" x14ac:dyDescent="0.25"/>
  <cols>
    <col min="1" max="1" width="7" customWidth="1"/>
    <col min="2" max="2" width="23.7109375" customWidth="1"/>
    <col min="3" max="3" width="30.140625" customWidth="1"/>
    <col min="4" max="4" width="8.5703125" customWidth="1"/>
    <col min="5" max="5" width="9.85546875" customWidth="1"/>
    <col min="10" max="10" width="13.85546875" customWidth="1"/>
    <col min="11" max="11" width="30.5703125" customWidth="1"/>
  </cols>
  <sheetData>
    <row r="1" spans="1:11" x14ac:dyDescent="0.25">
      <c r="A1" s="186" t="s">
        <v>1102</v>
      </c>
      <c r="B1" s="187"/>
      <c r="C1" s="187"/>
      <c r="D1" s="187"/>
      <c r="E1" s="187"/>
      <c r="F1" s="187"/>
      <c r="G1" s="187"/>
      <c r="H1" s="187"/>
      <c r="I1" s="187"/>
      <c r="J1" s="187"/>
      <c r="K1" s="188"/>
    </row>
    <row r="2" spans="1:11" x14ac:dyDescent="0.25">
      <c r="A2" s="189" t="s">
        <v>950</v>
      </c>
      <c r="B2" s="190"/>
      <c r="C2" s="190"/>
      <c r="D2" s="84"/>
      <c r="E2" s="84"/>
      <c r="F2" s="84"/>
      <c r="G2" s="84"/>
      <c r="H2" s="84"/>
      <c r="I2" s="84"/>
      <c r="J2" s="190" t="s">
        <v>958</v>
      </c>
      <c r="K2" s="191"/>
    </row>
    <row r="3" spans="1:11" ht="33.75" x14ac:dyDescent="0.25">
      <c r="A3" s="50" t="s">
        <v>0</v>
      </c>
      <c r="B3" s="16" t="s">
        <v>1</v>
      </c>
      <c r="C3" s="16" t="s">
        <v>964</v>
      </c>
      <c r="D3" s="16" t="s">
        <v>4</v>
      </c>
      <c r="E3" s="16" t="s">
        <v>961</v>
      </c>
      <c r="F3" s="16" t="s">
        <v>357</v>
      </c>
      <c r="G3" s="16" t="s">
        <v>6</v>
      </c>
      <c r="H3" s="16" t="s">
        <v>926</v>
      </c>
      <c r="I3" s="16" t="s">
        <v>8</v>
      </c>
      <c r="J3" s="16" t="s">
        <v>923</v>
      </c>
      <c r="K3" s="60" t="s">
        <v>10</v>
      </c>
    </row>
    <row r="4" spans="1:11" ht="56.25" x14ac:dyDescent="0.25">
      <c r="A4" s="21">
        <v>1</v>
      </c>
      <c r="B4" s="3" t="s">
        <v>28</v>
      </c>
      <c r="C4" s="3" t="s">
        <v>57</v>
      </c>
      <c r="D4" s="9">
        <v>1</v>
      </c>
      <c r="E4" s="24">
        <f>199000+9965</f>
        <v>208965</v>
      </c>
      <c r="F4" s="24">
        <f>199000+9965</f>
        <v>208965</v>
      </c>
      <c r="G4" s="24">
        <f>D4*F4</f>
        <v>208965</v>
      </c>
      <c r="H4" s="129" t="s">
        <v>938</v>
      </c>
      <c r="I4" s="3" t="s">
        <v>70</v>
      </c>
      <c r="J4" s="3" t="s">
        <v>949</v>
      </c>
      <c r="K4" s="3" t="s">
        <v>127</v>
      </c>
    </row>
    <row r="5" spans="1:11" ht="56.25" x14ac:dyDescent="0.25">
      <c r="A5" s="21">
        <v>2</v>
      </c>
      <c r="B5" s="3" t="s">
        <v>29</v>
      </c>
      <c r="C5" s="7" t="s">
        <v>1141</v>
      </c>
      <c r="D5" s="9">
        <v>1</v>
      </c>
      <c r="E5" s="24">
        <f>323000+51680</f>
        <v>374680</v>
      </c>
      <c r="F5" s="24">
        <f>323000+51680</f>
        <v>374680</v>
      </c>
      <c r="G5" s="24">
        <f t="shared" ref="G5:G45" si="0">D5*F5</f>
        <v>374680</v>
      </c>
      <c r="H5" s="129" t="s">
        <v>938</v>
      </c>
      <c r="I5" s="3" t="s">
        <v>70</v>
      </c>
      <c r="J5" s="3" t="s">
        <v>949</v>
      </c>
      <c r="K5" s="3" t="s">
        <v>128</v>
      </c>
    </row>
    <row r="6" spans="1:11" ht="56.25" x14ac:dyDescent="0.25">
      <c r="A6" s="21">
        <v>3</v>
      </c>
      <c r="B6" s="3" t="s">
        <v>30</v>
      </c>
      <c r="C6" s="7" t="s">
        <v>1141</v>
      </c>
      <c r="D6" s="9">
        <v>1</v>
      </c>
      <c r="E6" s="24">
        <v>150000</v>
      </c>
      <c r="F6" s="24">
        <v>150000</v>
      </c>
      <c r="G6" s="24">
        <f t="shared" si="0"/>
        <v>150000</v>
      </c>
      <c r="H6" s="129" t="s">
        <v>938</v>
      </c>
      <c r="I6" s="3" t="s">
        <v>70</v>
      </c>
      <c r="J6" s="3" t="s">
        <v>949</v>
      </c>
      <c r="K6" s="3" t="s">
        <v>142</v>
      </c>
    </row>
    <row r="7" spans="1:11" ht="56.25" x14ac:dyDescent="0.25">
      <c r="A7" s="21">
        <v>4</v>
      </c>
      <c r="B7" s="3" t="s">
        <v>143</v>
      </c>
      <c r="C7" s="7" t="s">
        <v>1141</v>
      </c>
      <c r="D7" s="9">
        <v>1</v>
      </c>
      <c r="E7" s="24">
        <f>480000+76800</f>
        <v>556800</v>
      </c>
      <c r="F7" s="24">
        <f>480000+76800</f>
        <v>556800</v>
      </c>
      <c r="G7" s="24">
        <f t="shared" si="0"/>
        <v>556800</v>
      </c>
      <c r="H7" s="129" t="s">
        <v>938</v>
      </c>
      <c r="I7" s="3" t="s">
        <v>70</v>
      </c>
      <c r="J7" s="3" t="s">
        <v>949</v>
      </c>
      <c r="K7" s="3" t="s">
        <v>129</v>
      </c>
    </row>
    <row r="8" spans="1:11" ht="56.25" x14ac:dyDescent="0.25">
      <c r="A8" s="21">
        <v>5</v>
      </c>
      <c r="B8" s="3" t="s">
        <v>31</v>
      </c>
      <c r="C8" s="7" t="s">
        <v>1141</v>
      </c>
      <c r="D8" s="9">
        <v>1</v>
      </c>
      <c r="E8" s="24">
        <v>580000</v>
      </c>
      <c r="F8" s="24">
        <v>580000</v>
      </c>
      <c r="G8" s="24">
        <f t="shared" si="0"/>
        <v>580000</v>
      </c>
      <c r="H8" s="129" t="s">
        <v>938</v>
      </c>
      <c r="I8" s="3" t="s">
        <v>70</v>
      </c>
      <c r="J8" s="3" t="s">
        <v>949</v>
      </c>
      <c r="K8" s="3" t="s">
        <v>130</v>
      </c>
    </row>
    <row r="9" spans="1:11" ht="191.25" x14ac:dyDescent="0.25">
      <c r="A9" s="21">
        <v>6</v>
      </c>
      <c r="B9" s="3" t="s">
        <v>32</v>
      </c>
      <c r="C9" s="7" t="s">
        <v>1141</v>
      </c>
      <c r="D9" s="9">
        <v>1</v>
      </c>
      <c r="E9" s="24">
        <f>258750*16%</f>
        <v>41400</v>
      </c>
      <c r="F9" s="24">
        <f>258750*16%</f>
        <v>41400</v>
      </c>
      <c r="G9" s="24">
        <f t="shared" si="0"/>
        <v>41400</v>
      </c>
      <c r="H9" s="129" t="s">
        <v>938</v>
      </c>
      <c r="I9" s="3" t="s">
        <v>70</v>
      </c>
      <c r="J9" s="3" t="s">
        <v>949</v>
      </c>
      <c r="K9" s="7" t="s">
        <v>131</v>
      </c>
    </row>
    <row r="10" spans="1:11" ht="56.25" x14ac:dyDescent="0.25">
      <c r="A10" s="21">
        <v>7</v>
      </c>
      <c r="B10" s="3" t="s">
        <v>33</v>
      </c>
      <c r="C10" s="7" t="s">
        <v>1141</v>
      </c>
      <c r="D10" s="9">
        <v>1</v>
      </c>
      <c r="E10" s="24">
        <f>498000+79680</f>
        <v>577680</v>
      </c>
      <c r="F10" s="24">
        <f>498000+79680</f>
        <v>577680</v>
      </c>
      <c r="G10" s="24">
        <f t="shared" si="0"/>
        <v>577680</v>
      </c>
      <c r="H10" s="129" t="s">
        <v>938</v>
      </c>
      <c r="I10" s="3" t="s">
        <v>70</v>
      </c>
      <c r="J10" s="3" t="s">
        <v>949</v>
      </c>
      <c r="K10" s="3" t="s">
        <v>132</v>
      </c>
    </row>
    <row r="11" spans="1:11" ht="56.25" x14ac:dyDescent="0.25">
      <c r="A11" s="21">
        <v>8</v>
      </c>
      <c r="B11" s="3" t="s">
        <v>34</v>
      </c>
      <c r="C11" s="7" t="s">
        <v>1141</v>
      </c>
      <c r="D11" s="9">
        <v>1</v>
      </c>
      <c r="E11" s="24">
        <v>46500</v>
      </c>
      <c r="F11" s="24">
        <v>46500</v>
      </c>
      <c r="G11" s="24">
        <f t="shared" si="0"/>
        <v>46500</v>
      </c>
      <c r="H11" s="129" t="s">
        <v>938</v>
      </c>
      <c r="I11" s="3" t="s">
        <v>70</v>
      </c>
      <c r="J11" s="3" t="s">
        <v>949</v>
      </c>
      <c r="K11" s="3" t="s">
        <v>133</v>
      </c>
    </row>
    <row r="12" spans="1:11" ht="56.25" x14ac:dyDescent="0.25">
      <c r="A12" s="21">
        <v>9</v>
      </c>
      <c r="B12" s="3" t="s">
        <v>35</v>
      </c>
      <c r="C12" s="7" t="s">
        <v>1141</v>
      </c>
      <c r="D12" s="9">
        <v>1</v>
      </c>
      <c r="E12" s="24">
        <f>330000+52800</f>
        <v>382800</v>
      </c>
      <c r="F12" s="24">
        <f>330000+52800</f>
        <v>382800</v>
      </c>
      <c r="G12" s="24">
        <f t="shared" si="0"/>
        <v>382800</v>
      </c>
      <c r="H12" s="129" t="s">
        <v>938</v>
      </c>
      <c r="I12" s="3" t="s">
        <v>70</v>
      </c>
      <c r="J12" s="3" t="s">
        <v>949</v>
      </c>
      <c r="K12" s="3" t="s">
        <v>134</v>
      </c>
    </row>
    <row r="13" spans="1:11" ht="56.25" x14ac:dyDescent="0.25">
      <c r="A13" s="21">
        <v>10</v>
      </c>
      <c r="B13" s="3" t="s">
        <v>36</v>
      </c>
      <c r="C13" s="7" t="s">
        <v>1141</v>
      </c>
      <c r="D13" s="9">
        <v>1</v>
      </c>
      <c r="E13" s="24">
        <f>150000+24000</f>
        <v>174000</v>
      </c>
      <c r="F13" s="24">
        <f>150000+24000</f>
        <v>174000</v>
      </c>
      <c r="G13" s="24">
        <f t="shared" si="0"/>
        <v>174000</v>
      </c>
      <c r="H13" s="129" t="s">
        <v>938</v>
      </c>
      <c r="I13" s="3" t="s">
        <v>70</v>
      </c>
      <c r="J13" s="3" t="s">
        <v>949</v>
      </c>
      <c r="K13" s="3" t="s">
        <v>135</v>
      </c>
    </row>
    <row r="14" spans="1:11" ht="56.25" x14ac:dyDescent="0.25">
      <c r="A14" s="21">
        <v>11</v>
      </c>
      <c r="B14" s="3" t="s">
        <v>37</v>
      </c>
      <c r="C14" s="7" t="s">
        <v>1141</v>
      </c>
      <c r="D14" s="9">
        <v>1</v>
      </c>
      <c r="E14" s="24"/>
      <c r="F14" s="24"/>
      <c r="G14" s="24">
        <f t="shared" si="0"/>
        <v>0</v>
      </c>
      <c r="H14" s="129" t="s">
        <v>938</v>
      </c>
      <c r="I14" s="3" t="s">
        <v>70</v>
      </c>
      <c r="J14" s="3" t="s">
        <v>949</v>
      </c>
      <c r="K14" s="3" t="s">
        <v>136</v>
      </c>
    </row>
    <row r="15" spans="1:11" ht="56.25" x14ac:dyDescent="0.25">
      <c r="A15" s="21">
        <v>13</v>
      </c>
      <c r="B15" s="3" t="s">
        <v>38</v>
      </c>
      <c r="C15" s="7" t="s">
        <v>1141</v>
      </c>
      <c r="D15" s="9">
        <v>1</v>
      </c>
      <c r="E15" s="24">
        <f>198000+31680</f>
        <v>229680</v>
      </c>
      <c r="F15" s="24">
        <f>198000+31680</f>
        <v>229680</v>
      </c>
      <c r="G15" s="24">
        <f t="shared" si="0"/>
        <v>229680</v>
      </c>
      <c r="H15" s="129" t="s">
        <v>938</v>
      </c>
      <c r="I15" s="3" t="s">
        <v>70</v>
      </c>
      <c r="J15" s="3" t="s">
        <v>949</v>
      </c>
      <c r="K15" s="3" t="s">
        <v>137</v>
      </c>
    </row>
    <row r="16" spans="1:11" ht="56.25" x14ac:dyDescent="0.25">
      <c r="A16" s="21">
        <v>14</v>
      </c>
      <c r="B16" s="3" t="s">
        <v>39</v>
      </c>
      <c r="C16" s="7" t="s">
        <v>1141</v>
      </c>
      <c r="D16" s="9">
        <v>1</v>
      </c>
      <c r="E16" s="24">
        <f>90000+14400</f>
        <v>104400</v>
      </c>
      <c r="F16" s="24">
        <f>90000+14400</f>
        <v>104400</v>
      </c>
      <c r="G16" s="24">
        <f t="shared" si="0"/>
        <v>104400</v>
      </c>
      <c r="H16" s="129" t="s">
        <v>938</v>
      </c>
      <c r="I16" s="3" t="s">
        <v>70</v>
      </c>
      <c r="J16" s="3" t="s">
        <v>949</v>
      </c>
      <c r="K16" s="3" t="s">
        <v>144</v>
      </c>
    </row>
    <row r="17" spans="1:11" ht="56.25" x14ac:dyDescent="0.25">
      <c r="A17" s="21">
        <v>15</v>
      </c>
      <c r="B17" s="3" t="s">
        <v>145</v>
      </c>
      <c r="C17" s="7" t="s">
        <v>1141</v>
      </c>
      <c r="D17" s="9">
        <v>1</v>
      </c>
      <c r="E17" s="24">
        <v>150000</v>
      </c>
      <c r="F17" s="24">
        <v>150000</v>
      </c>
      <c r="G17" s="24">
        <f t="shared" si="0"/>
        <v>150000</v>
      </c>
      <c r="H17" s="129" t="s">
        <v>938</v>
      </c>
      <c r="I17" s="3" t="s">
        <v>70</v>
      </c>
      <c r="J17" s="3" t="s">
        <v>949</v>
      </c>
      <c r="K17" s="3" t="s">
        <v>138</v>
      </c>
    </row>
    <row r="18" spans="1:11" ht="56.25" x14ac:dyDescent="0.25">
      <c r="A18" s="21">
        <v>16</v>
      </c>
      <c r="B18" s="3" t="s">
        <v>40</v>
      </c>
      <c r="C18" s="7" t="s">
        <v>1141</v>
      </c>
      <c r="D18" s="9">
        <v>1</v>
      </c>
      <c r="E18" s="24">
        <f>558000+89280</f>
        <v>647280</v>
      </c>
      <c r="F18" s="24">
        <f>558000+89280</f>
        <v>647280</v>
      </c>
      <c r="G18" s="24">
        <f t="shared" si="0"/>
        <v>647280</v>
      </c>
      <c r="H18" s="129" t="s">
        <v>938</v>
      </c>
      <c r="I18" s="3" t="s">
        <v>70</v>
      </c>
      <c r="J18" s="3" t="s">
        <v>949</v>
      </c>
      <c r="K18" s="3" t="s">
        <v>139</v>
      </c>
    </row>
    <row r="19" spans="1:11" ht="56.25" x14ac:dyDescent="0.25">
      <c r="A19" s="21">
        <v>17</v>
      </c>
      <c r="B19" s="3" t="s">
        <v>41</v>
      </c>
      <c r="C19" s="7" t="s">
        <v>1141</v>
      </c>
      <c r="D19" s="9">
        <v>1</v>
      </c>
      <c r="E19" s="24">
        <f>198000+31680</f>
        <v>229680</v>
      </c>
      <c r="F19" s="24">
        <f>198000+31680</f>
        <v>229680</v>
      </c>
      <c r="G19" s="24">
        <f t="shared" si="0"/>
        <v>229680</v>
      </c>
      <c r="H19" s="129" t="s">
        <v>938</v>
      </c>
      <c r="I19" s="3" t="s">
        <v>70</v>
      </c>
      <c r="J19" s="3" t="s">
        <v>949</v>
      </c>
      <c r="K19" s="3" t="s">
        <v>140</v>
      </c>
    </row>
    <row r="20" spans="1:11" ht="56.25" x14ac:dyDescent="0.25">
      <c r="A20" s="21">
        <v>18</v>
      </c>
      <c r="B20" s="3" t="s">
        <v>42</v>
      </c>
      <c r="C20" s="7" t="s">
        <v>1141</v>
      </c>
      <c r="D20" s="9">
        <v>1</v>
      </c>
      <c r="E20" s="24">
        <v>290000</v>
      </c>
      <c r="F20" s="24">
        <v>290000</v>
      </c>
      <c r="G20" s="24">
        <f t="shared" si="0"/>
        <v>290000</v>
      </c>
      <c r="H20" s="129" t="s">
        <v>938</v>
      </c>
      <c r="I20" s="3" t="s">
        <v>70</v>
      </c>
      <c r="J20" s="3" t="s">
        <v>949</v>
      </c>
      <c r="K20" s="3" t="s">
        <v>141</v>
      </c>
    </row>
    <row r="21" spans="1:11" ht="56.25" x14ac:dyDescent="0.25">
      <c r="A21" s="21">
        <v>19</v>
      </c>
      <c r="B21" s="3" t="s">
        <v>43</v>
      </c>
      <c r="C21" s="7" t="s">
        <v>1141</v>
      </c>
      <c r="D21" s="9">
        <v>1</v>
      </c>
      <c r="E21" s="24">
        <f>890000+142400</f>
        <v>1032400</v>
      </c>
      <c r="F21" s="24">
        <f>890000+142400</f>
        <v>1032400</v>
      </c>
      <c r="G21" s="24">
        <f t="shared" si="0"/>
        <v>1032400</v>
      </c>
      <c r="H21" s="129" t="s">
        <v>938</v>
      </c>
      <c r="I21" s="3" t="s">
        <v>70</v>
      </c>
      <c r="J21" s="3" t="s">
        <v>949</v>
      </c>
      <c r="K21" s="3"/>
    </row>
    <row r="22" spans="1:11" ht="56.25" x14ac:dyDescent="0.25">
      <c r="A22" s="21"/>
      <c r="B22" s="3" t="s">
        <v>405</v>
      </c>
      <c r="C22" s="7" t="s">
        <v>1141</v>
      </c>
      <c r="D22" s="9">
        <v>1</v>
      </c>
      <c r="E22" s="24"/>
      <c r="F22" s="24"/>
      <c r="G22" s="24"/>
      <c r="H22" s="129" t="s">
        <v>938</v>
      </c>
      <c r="I22" s="3"/>
      <c r="J22" s="3" t="s">
        <v>949</v>
      </c>
      <c r="K22" s="3"/>
    </row>
    <row r="23" spans="1:11" ht="56.25" x14ac:dyDescent="0.25">
      <c r="A23" s="21">
        <v>20</v>
      </c>
      <c r="B23" s="3" t="s">
        <v>44</v>
      </c>
      <c r="C23" s="7" t="s">
        <v>1141</v>
      </c>
      <c r="D23" s="9">
        <v>1</v>
      </c>
      <c r="E23" s="24">
        <v>300000</v>
      </c>
      <c r="F23" s="24">
        <v>300000</v>
      </c>
      <c r="G23" s="24">
        <f t="shared" si="0"/>
        <v>300000</v>
      </c>
      <c r="H23" s="129" t="s">
        <v>938</v>
      </c>
      <c r="I23" s="3" t="s">
        <v>70</v>
      </c>
      <c r="J23" s="3" t="s">
        <v>949</v>
      </c>
      <c r="K23" s="3" t="s">
        <v>146</v>
      </c>
    </row>
    <row r="24" spans="1:11" ht="56.25" x14ac:dyDescent="0.25">
      <c r="A24" s="21">
        <v>21</v>
      </c>
      <c r="B24" s="3" t="s">
        <v>45</v>
      </c>
      <c r="C24" s="7" t="s">
        <v>1141</v>
      </c>
      <c r="D24" s="9">
        <v>1</v>
      </c>
      <c r="E24" s="24">
        <v>258000</v>
      </c>
      <c r="F24" s="24">
        <v>258000</v>
      </c>
      <c r="G24" s="24">
        <f t="shared" si="0"/>
        <v>258000</v>
      </c>
      <c r="H24" s="129" t="s">
        <v>938</v>
      </c>
      <c r="I24" s="3" t="s">
        <v>70</v>
      </c>
      <c r="J24" s="3" t="s">
        <v>949</v>
      </c>
      <c r="K24" s="3" t="s">
        <v>147</v>
      </c>
    </row>
    <row r="25" spans="1:11" ht="56.25" x14ac:dyDescent="0.25">
      <c r="A25" s="21">
        <v>22</v>
      </c>
      <c r="B25" s="3" t="s">
        <v>162</v>
      </c>
      <c r="C25" s="7" t="s">
        <v>1141</v>
      </c>
      <c r="D25" s="9">
        <v>1</v>
      </c>
      <c r="E25" s="24">
        <v>580000</v>
      </c>
      <c r="F25" s="24">
        <v>580000</v>
      </c>
      <c r="G25" s="24">
        <f t="shared" si="0"/>
        <v>580000</v>
      </c>
      <c r="H25" s="129" t="s">
        <v>938</v>
      </c>
      <c r="I25" s="3" t="s">
        <v>70</v>
      </c>
      <c r="J25" s="3" t="s">
        <v>949</v>
      </c>
      <c r="K25" s="3" t="s">
        <v>163</v>
      </c>
    </row>
    <row r="26" spans="1:11" ht="56.25" x14ac:dyDescent="0.25">
      <c r="A26" s="26">
        <v>23</v>
      </c>
      <c r="B26" s="10" t="s">
        <v>46</v>
      </c>
      <c r="C26" s="7" t="s">
        <v>1141</v>
      </c>
      <c r="D26" s="9">
        <v>1</v>
      </c>
      <c r="E26" s="99">
        <v>290000</v>
      </c>
      <c r="F26" s="99">
        <v>290000</v>
      </c>
      <c r="G26" s="24">
        <f t="shared" si="0"/>
        <v>290000</v>
      </c>
      <c r="H26" s="129" t="s">
        <v>938</v>
      </c>
      <c r="I26" s="3" t="s">
        <v>70</v>
      </c>
      <c r="J26" s="3" t="s">
        <v>949</v>
      </c>
      <c r="K26" s="10" t="s">
        <v>164</v>
      </c>
    </row>
    <row r="27" spans="1:11" ht="56.25" x14ac:dyDescent="0.25">
      <c r="A27" s="26"/>
      <c r="B27" s="10" t="s">
        <v>84</v>
      </c>
      <c r="C27" s="7" t="s">
        <v>1141</v>
      </c>
      <c r="D27" s="9">
        <v>1</v>
      </c>
      <c r="E27" s="99">
        <v>185600</v>
      </c>
      <c r="F27" s="99">
        <v>185600</v>
      </c>
      <c r="G27" s="24">
        <f t="shared" si="0"/>
        <v>185600</v>
      </c>
      <c r="H27" s="129" t="s">
        <v>938</v>
      </c>
      <c r="I27" s="3" t="s">
        <v>70</v>
      </c>
      <c r="J27" s="3" t="s">
        <v>949</v>
      </c>
      <c r="K27" s="10" t="s">
        <v>148</v>
      </c>
    </row>
    <row r="28" spans="1:11" ht="56.25" x14ac:dyDescent="0.25">
      <c r="A28" s="26"/>
      <c r="B28" s="10" t="s">
        <v>388</v>
      </c>
      <c r="C28" s="7" t="s">
        <v>1141</v>
      </c>
      <c r="D28" s="9">
        <v>1</v>
      </c>
      <c r="E28" s="99"/>
      <c r="F28" s="99"/>
      <c r="G28" s="24"/>
      <c r="H28" s="129" t="s">
        <v>938</v>
      </c>
      <c r="I28" s="3"/>
      <c r="J28" s="3" t="s">
        <v>949</v>
      </c>
      <c r="K28" s="10"/>
    </row>
    <row r="29" spans="1:11" ht="56.25" x14ac:dyDescent="0.25">
      <c r="A29" s="21">
        <v>24</v>
      </c>
      <c r="B29" s="3" t="s">
        <v>47</v>
      </c>
      <c r="C29" s="7" t="s">
        <v>1141</v>
      </c>
      <c r="D29" s="9">
        <v>1</v>
      </c>
      <c r="E29" s="24">
        <f>3500000+112500</f>
        <v>3612500</v>
      </c>
      <c r="F29" s="24">
        <f>3500000+112500</f>
        <v>3612500</v>
      </c>
      <c r="G29" s="24">
        <f t="shared" si="0"/>
        <v>3612500</v>
      </c>
      <c r="H29" s="129" t="s">
        <v>938</v>
      </c>
      <c r="I29" s="3" t="s">
        <v>70</v>
      </c>
      <c r="J29" s="3" t="s">
        <v>949</v>
      </c>
      <c r="K29" s="3" t="s">
        <v>149</v>
      </c>
    </row>
    <row r="30" spans="1:11" ht="56.25" x14ac:dyDescent="0.25">
      <c r="A30" s="21">
        <v>25</v>
      </c>
      <c r="B30" s="3" t="s">
        <v>445</v>
      </c>
      <c r="C30" s="7" t="s">
        <v>1141</v>
      </c>
      <c r="D30" s="9">
        <v>1</v>
      </c>
      <c r="E30" s="24">
        <f>920000+147200</f>
        <v>1067200</v>
      </c>
      <c r="F30" s="24">
        <f>920000+147200</f>
        <v>1067200</v>
      </c>
      <c r="G30" s="24">
        <f t="shared" si="0"/>
        <v>1067200</v>
      </c>
      <c r="H30" s="129" t="s">
        <v>938</v>
      </c>
      <c r="I30" s="3" t="s">
        <v>70</v>
      </c>
      <c r="J30" s="3" t="s">
        <v>949</v>
      </c>
      <c r="K30" s="3" t="s">
        <v>150</v>
      </c>
    </row>
    <row r="31" spans="1:11" ht="56.25" x14ac:dyDescent="0.25">
      <c r="A31" s="21">
        <v>26</v>
      </c>
      <c r="B31" s="3" t="s">
        <v>48</v>
      </c>
      <c r="C31" s="7" t="s">
        <v>1141</v>
      </c>
      <c r="D31" s="9">
        <v>1</v>
      </c>
      <c r="E31" s="24">
        <f>442000+70240</f>
        <v>512240</v>
      </c>
      <c r="F31" s="24">
        <f>442000+70240</f>
        <v>512240</v>
      </c>
      <c r="G31" s="24">
        <f t="shared" si="0"/>
        <v>512240</v>
      </c>
      <c r="H31" s="129" t="s">
        <v>938</v>
      </c>
      <c r="I31" s="3" t="s">
        <v>70</v>
      </c>
      <c r="J31" s="3" t="s">
        <v>949</v>
      </c>
      <c r="K31" s="3" t="s">
        <v>151</v>
      </c>
    </row>
    <row r="32" spans="1:11" ht="56.25" x14ac:dyDescent="0.25">
      <c r="A32" s="21">
        <v>27</v>
      </c>
      <c r="B32" s="3" t="s">
        <v>49</v>
      </c>
      <c r="C32" s="7" t="s">
        <v>1141</v>
      </c>
      <c r="D32" s="9">
        <v>1</v>
      </c>
      <c r="E32" s="24">
        <f>145000+23200</f>
        <v>168200</v>
      </c>
      <c r="F32" s="24">
        <f>145000+23200</f>
        <v>168200</v>
      </c>
      <c r="G32" s="24">
        <f t="shared" si="0"/>
        <v>168200</v>
      </c>
      <c r="H32" s="129" t="s">
        <v>938</v>
      </c>
      <c r="I32" s="3" t="s">
        <v>70</v>
      </c>
      <c r="J32" s="3" t="s">
        <v>949</v>
      </c>
      <c r="K32" s="3" t="s">
        <v>152</v>
      </c>
    </row>
    <row r="33" spans="1:11" ht="56.25" x14ac:dyDescent="0.25">
      <c r="A33" s="21">
        <v>28</v>
      </c>
      <c r="B33" s="3" t="s">
        <v>50</v>
      </c>
      <c r="C33" s="7" t="s">
        <v>1141</v>
      </c>
      <c r="D33" s="9">
        <v>1</v>
      </c>
      <c r="E33" s="24">
        <f>450000+77200</f>
        <v>527200</v>
      </c>
      <c r="F33" s="24">
        <f>450000+77200</f>
        <v>527200</v>
      </c>
      <c r="G33" s="24">
        <f t="shared" si="0"/>
        <v>527200</v>
      </c>
      <c r="H33" s="129" t="s">
        <v>938</v>
      </c>
      <c r="I33" s="3" t="s">
        <v>70</v>
      </c>
      <c r="J33" s="3" t="s">
        <v>949</v>
      </c>
      <c r="K33" s="3" t="s">
        <v>153</v>
      </c>
    </row>
    <row r="34" spans="1:11" ht="56.25" x14ac:dyDescent="0.25">
      <c r="A34" s="21">
        <v>29</v>
      </c>
      <c r="B34" s="3" t="s">
        <v>51</v>
      </c>
      <c r="C34" s="7" t="s">
        <v>1141</v>
      </c>
      <c r="D34" s="9">
        <v>1</v>
      </c>
      <c r="E34" s="24">
        <f>180000+28800</f>
        <v>208800</v>
      </c>
      <c r="F34" s="24">
        <f>180000+28800</f>
        <v>208800</v>
      </c>
      <c r="G34" s="24">
        <f t="shared" si="0"/>
        <v>208800</v>
      </c>
      <c r="H34" s="129" t="s">
        <v>938</v>
      </c>
      <c r="I34" s="3" t="s">
        <v>70</v>
      </c>
      <c r="J34" s="3" t="s">
        <v>949</v>
      </c>
      <c r="K34" s="3" t="s">
        <v>154</v>
      </c>
    </row>
    <row r="35" spans="1:11" ht="56.25" x14ac:dyDescent="0.25">
      <c r="A35" s="21">
        <v>30</v>
      </c>
      <c r="B35" s="3" t="s">
        <v>52</v>
      </c>
      <c r="C35" s="7" t="s">
        <v>1141</v>
      </c>
      <c r="D35" s="9">
        <v>1</v>
      </c>
      <c r="E35" s="24">
        <f>800000+128000</f>
        <v>928000</v>
      </c>
      <c r="F35" s="24">
        <f>800000+128000</f>
        <v>928000</v>
      </c>
      <c r="G35" s="24">
        <f t="shared" si="0"/>
        <v>928000</v>
      </c>
      <c r="H35" s="129" t="s">
        <v>938</v>
      </c>
      <c r="I35" s="3" t="s">
        <v>70</v>
      </c>
      <c r="J35" s="3" t="s">
        <v>949</v>
      </c>
      <c r="K35" s="3" t="s">
        <v>155</v>
      </c>
    </row>
    <row r="36" spans="1:11" ht="56.25" x14ac:dyDescent="0.25">
      <c r="A36" s="21">
        <v>31</v>
      </c>
      <c r="B36" s="3" t="s">
        <v>53</v>
      </c>
      <c r="C36" s="7" t="s">
        <v>1141</v>
      </c>
      <c r="D36" s="9">
        <v>1</v>
      </c>
      <c r="E36" s="24">
        <v>174000</v>
      </c>
      <c r="F36" s="24">
        <v>174000</v>
      </c>
      <c r="G36" s="24">
        <f t="shared" si="0"/>
        <v>174000</v>
      </c>
      <c r="H36" s="129" t="s">
        <v>938</v>
      </c>
      <c r="I36" s="3" t="s">
        <v>70</v>
      </c>
      <c r="J36" s="3" t="s">
        <v>949</v>
      </c>
      <c r="K36" s="3" t="s">
        <v>358</v>
      </c>
    </row>
    <row r="37" spans="1:11" ht="56.25" x14ac:dyDescent="0.25">
      <c r="A37" s="21">
        <v>32</v>
      </c>
      <c r="B37" s="3" t="s">
        <v>156</v>
      </c>
      <c r="C37" s="7" t="s">
        <v>1141</v>
      </c>
      <c r="D37" s="9">
        <v>1</v>
      </c>
      <c r="E37" s="24">
        <v>928000</v>
      </c>
      <c r="F37" s="24">
        <v>928000</v>
      </c>
      <c r="G37" s="24">
        <f t="shared" si="0"/>
        <v>928000</v>
      </c>
      <c r="H37" s="129" t="s">
        <v>938</v>
      </c>
      <c r="I37" s="3" t="s">
        <v>70</v>
      </c>
      <c r="J37" s="3" t="s">
        <v>949</v>
      </c>
      <c r="K37" s="3" t="s">
        <v>157</v>
      </c>
    </row>
    <row r="38" spans="1:11" ht="56.25" x14ac:dyDescent="0.25">
      <c r="A38" s="21">
        <v>33</v>
      </c>
      <c r="B38" s="3" t="s">
        <v>54</v>
      </c>
      <c r="C38" s="7" t="s">
        <v>1141</v>
      </c>
      <c r="D38" s="9">
        <v>1</v>
      </c>
      <c r="E38" s="24">
        <f>1100000+176000</f>
        <v>1276000</v>
      </c>
      <c r="F38" s="24">
        <f>1100000+176000</f>
        <v>1276000</v>
      </c>
      <c r="G38" s="24">
        <f t="shared" si="0"/>
        <v>1276000</v>
      </c>
      <c r="H38" s="129" t="s">
        <v>938</v>
      </c>
      <c r="I38" s="3" t="s">
        <v>70</v>
      </c>
      <c r="J38" s="3" t="s">
        <v>949</v>
      </c>
      <c r="K38" s="3" t="s">
        <v>158</v>
      </c>
    </row>
    <row r="39" spans="1:11" ht="56.25" x14ac:dyDescent="0.25">
      <c r="A39" s="21">
        <v>34</v>
      </c>
      <c r="B39" s="3" t="s">
        <v>55</v>
      </c>
      <c r="C39" s="7" t="s">
        <v>1141</v>
      </c>
      <c r="D39" s="9">
        <v>1</v>
      </c>
      <c r="E39" s="24">
        <f>410000+65600</f>
        <v>475600</v>
      </c>
      <c r="F39" s="24">
        <f>410000+65600</f>
        <v>475600</v>
      </c>
      <c r="G39" s="24">
        <f t="shared" si="0"/>
        <v>475600</v>
      </c>
      <c r="H39" s="129" t="s">
        <v>938</v>
      </c>
      <c r="I39" s="3" t="s">
        <v>70</v>
      </c>
      <c r="J39" s="3" t="s">
        <v>949</v>
      </c>
      <c r="K39" s="3" t="s">
        <v>161</v>
      </c>
    </row>
    <row r="40" spans="1:11" ht="56.25" x14ac:dyDescent="0.25">
      <c r="A40" s="21">
        <v>36</v>
      </c>
      <c r="B40" s="3" t="s">
        <v>353</v>
      </c>
      <c r="C40" s="7" t="s">
        <v>1141</v>
      </c>
      <c r="D40" s="9">
        <v>1</v>
      </c>
      <c r="E40" s="24">
        <f>556800+19500</f>
        <v>576300</v>
      </c>
      <c r="F40" s="24">
        <f t="shared" ref="F40:F45" si="1">410000+65600</f>
        <v>475600</v>
      </c>
      <c r="G40" s="24">
        <f t="shared" si="0"/>
        <v>475600</v>
      </c>
      <c r="H40" s="129" t="s">
        <v>938</v>
      </c>
      <c r="I40" s="3" t="s">
        <v>70</v>
      </c>
      <c r="J40" s="3" t="s">
        <v>949</v>
      </c>
      <c r="K40" s="3" t="s">
        <v>354</v>
      </c>
    </row>
    <row r="41" spans="1:11" ht="56.25" x14ac:dyDescent="0.25">
      <c r="A41" s="21">
        <v>37</v>
      </c>
      <c r="B41" s="3" t="s">
        <v>159</v>
      </c>
      <c r="C41" s="7" t="s">
        <v>1141</v>
      </c>
      <c r="D41" s="9">
        <v>1</v>
      </c>
      <c r="E41" s="24">
        <v>350000</v>
      </c>
      <c r="F41" s="24">
        <f t="shared" si="1"/>
        <v>475600</v>
      </c>
      <c r="G41" s="24">
        <f t="shared" si="0"/>
        <v>475600</v>
      </c>
      <c r="H41" s="129" t="s">
        <v>938</v>
      </c>
      <c r="I41" s="3" t="s">
        <v>70</v>
      </c>
      <c r="J41" s="3" t="s">
        <v>949</v>
      </c>
      <c r="K41" s="3" t="s">
        <v>355</v>
      </c>
    </row>
    <row r="42" spans="1:11" ht="56.25" x14ac:dyDescent="0.25">
      <c r="A42" s="21">
        <v>38</v>
      </c>
      <c r="B42" s="3" t="s">
        <v>160</v>
      </c>
      <c r="C42" s="7" t="s">
        <v>1141</v>
      </c>
      <c r="D42" s="9">
        <v>1</v>
      </c>
      <c r="E42" s="24">
        <v>80000</v>
      </c>
      <c r="F42" s="24">
        <f t="shared" si="1"/>
        <v>475600</v>
      </c>
      <c r="G42" s="24">
        <f t="shared" si="0"/>
        <v>475600</v>
      </c>
      <c r="H42" s="129" t="s">
        <v>938</v>
      </c>
      <c r="I42" s="3" t="s">
        <v>70</v>
      </c>
      <c r="J42" s="3" t="s">
        <v>949</v>
      </c>
      <c r="K42" s="3" t="s">
        <v>945</v>
      </c>
    </row>
    <row r="43" spans="1:11" ht="56.25" x14ac:dyDescent="0.25">
      <c r="A43" s="55">
        <v>39</v>
      </c>
      <c r="B43" s="40" t="s">
        <v>50</v>
      </c>
      <c r="C43" s="7" t="s">
        <v>1141</v>
      </c>
      <c r="D43" s="9">
        <v>1</v>
      </c>
      <c r="E43" s="66">
        <v>250000</v>
      </c>
      <c r="F43" s="24">
        <f t="shared" si="1"/>
        <v>475600</v>
      </c>
      <c r="G43" s="24">
        <f t="shared" si="0"/>
        <v>475600</v>
      </c>
      <c r="H43" s="129" t="s">
        <v>938</v>
      </c>
      <c r="I43" s="3" t="s">
        <v>70</v>
      </c>
      <c r="J43" s="3" t="s">
        <v>949</v>
      </c>
      <c r="K43" s="40" t="s">
        <v>946</v>
      </c>
    </row>
    <row r="44" spans="1:11" ht="56.25" x14ac:dyDescent="0.25">
      <c r="A44" s="55">
        <v>40</v>
      </c>
      <c r="B44" s="40" t="s">
        <v>455</v>
      </c>
      <c r="C44" s="7" t="s">
        <v>1141</v>
      </c>
      <c r="D44" s="9">
        <v>1</v>
      </c>
      <c r="E44" s="66">
        <v>2230000</v>
      </c>
      <c r="F44" s="24">
        <f t="shared" si="1"/>
        <v>475600</v>
      </c>
      <c r="G44" s="24">
        <f t="shared" si="0"/>
        <v>475600</v>
      </c>
      <c r="H44" s="129" t="s">
        <v>938</v>
      </c>
      <c r="I44" s="3" t="s">
        <v>70</v>
      </c>
      <c r="J44" s="3" t="s">
        <v>949</v>
      </c>
      <c r="K44" s="40" t="s">
        <v>947</v>
      </c>
    </row>
    <row r="45" spans="1:11" ht="56.25" x14ac:dyDescent="0.25">
      <c r="A45" s="55">
        <v>41</v>
      </c>
      <c r="B45" s="40" t="s">
        <v>456</v>
      </c>
      <c r="C45" s="7" t="s">
        <v>1141</v>
      </c>
      <c r="D45" s="9">
        <v>1</v>
      </c>
      <c r="E45" s="66">
        <v>230000</v>
      </c>
      <c r="F45" s="24">
        <f t="shared" si="1"/>
        <v>475600</v>
      </c>
      <c r="G45" s="24">
        <f t="shared" si="0"/>
        <v>475600</v>
      </c>
      <c r="H45" s="129" t="s">
        <v>938</v>
      </c>
      <c r="I45" s="3" t="s">
        <v>70</v>
      </c>
      <c r="J45" s="3" t="s">
        <v>949</v>
      </c>
      <c r="K45" s="40" t="s">
        <v>948</v>
      </c>
    </row>
  </sheetData>
  <mergeCells count="3">
    <mergeCell ref="A1:K1"/>
    <mergeCell ref="A2:C2"/>
    <mergeCell ref="J2:K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workbookViewId="0">
      <selection activeCell="M8" sqref="M8"/>
    </sheetView>
  </sheetViews>
  <sheetFormatPr baseColWidth="10" defaultRowHeight="15" x14ac:dyDescent="0.25"/>
  <cols>
    <col min="1" max="1" width="5.7109375" customWidth="1"/>
    <col min="2" max="2" width="24.28515625" customWidth="1"/>
    <col min="3" max="3" width="28.5703125" customWidth="1"/>
    <col min="4" max="4" width="8.28515625" customWidth="1"/>
    <col min="5" max="5" width="9.85546875" customWidth="1"/>
    <col min="6" max="6" width="14.140625" bestFit="1" customWidth="1"/>
    <col min="7" max="7" width="9.7109375" customWidth="1"/>
    <col min="11" max="11" width="23.140625" customWidth="1"/>
  </cols>
  <sheetData>
    <row r="1" spans="1:14" x14ac:dyDescent="0.25">
      <c r="A1" s="186" t="s">
        <v>1103</v>
      </c>
      <c r="B1" s="192"/>
      <c r="C1" s="192"/>
      <c r="D1" s="192"/>
      <c r="E1" s="192"/>
      <c r="F1" s="192"/>
      <c r="G1" s="192"/>
      <c r="H1" s="192"/>
      <c r="I1" s="192"/>
      <c r="J1" s="192"/>
      <c r="K1" s="193"/>
    </row>
    <row r="2" spans="1:14" x14ac:dyDescent="0.25">
      <c r="A2" s="194" t="s">
        <v>952</v>
      </c>
      <c r="B2" s="195"/>
      <c r="C2" s="195"/>
      <c r="D2" s="84"/>
      <c r="E2" s="84"/>
      <c r="F2" s="84"/>
      <c r="G2" s="84"/>
      <c r="H2" s="84"/>
      <c r="I2" s="190" t="s">
        <v>959</v>
      </c>
      <c r="J2" s="190"/>
      <c r="K2" s="191"/>
    </row>
    <row r="3" spans="1:14" ht="45" x14ac:dyDescent="0.25">
      <c r="A3" s="50" t="s">
        <v>0</v>
      </c>
      <c r="B3" s="17" t="s">
        <v>962</v>
      </c>
      <c r="C3" s="17" t="s">
        <v>2</v>
      </c>
      <c r="D3" s="16" t="s">
        <v>4</v>
      </c>
      <c r="E3" s="16" t="s">
        <v>963</v>
      </c>
      <c r="F3" s="16" t="s">
        <v>357</v>
      </c>
      <c r="G3" s="16" t="s">
        <v>6</v>
      </c>
      <c r="H3" s="16" t="s">
        <v>926</v>
      </c>
      <c r="I3" s="16" t="s">
        <v>970</v>
      </c>
      <c r="J3" s="16" t="s">
        <v>8</v>
      </c>
      <c r="K3" s="60" t="s">
        <v>10</v>
      </c>
    </row>
    <row r="4" spans="1:14" ht="24" customHeight="1" x14ac:dyDescent="0.25">
      <c r="A4" s="5">
        <v>1</v>
      </c>
      <c r="B4" s="35" t="s">
        <v>19</v>
      </c>
      <c r="C4" s="3" t="s">
        <v>1142</v>
      </c>
      <c r="D4" s="21">
        <v>1</v>
      </c>
      <c r="E4" s="27">
        <v>70000</v>
      </c>
      <c r="F4" s="27">
        <f>D4*E4</f>
        <v>70000</v>
      </c>
      <c r="G4" s="88" t="s">
        <v>320</v>
      </c>
      <c r="H4" s="20" t="s">
        <v>83</v>
      </c>
      <c r="I4" s="3" t="s">
        <v>70</v>
      </c>
      <c r="J4" s="21" t="s">
        <v>71</v>
      </c>
      <c r="K4" s="8" t="s">
        <v>322</v>
      </c>
    </row>
    <row r="5" spans="1:14" ht="24" customHeight="1" x14ac:dyDescent="0.25">
      <c r="A5" s="5"/>
      <c r="B5" s="34" t="s">
        <v>441</v>
      </c>
      <c r="C5" s="3" t="s">
        <v>1142</v>
      </c>
      <c r="D5" s="21">
        <v>1</v>
      </c>
      <c r="E5" s="27">
        <v>105000</v>
      </c>
      <c r="F5" s="27">
        <f t="shared" ref="F5:F42" si="0">D5*E5</f>
        <v>105000</v>
      </c>
      <c r="G5" s="88" t="s">
        <v>320</v>
      </c>
      <c r="H5" s="20"/>
      <c r="I5" s="3"/>
      <c r="J5" s="21"/>
      <c r="K5" s="8"/>
    </row>
    <row r="6" spans="1:14" ht="22.5" x14ac:dyDescent="0.25">
      <c r="A6" s="5">
        <v>2</v>
      </c>
      <c r="B6" s="8" t="s">
        <v>20</v>
      </c>
      <c r="C6" s="3" t="s">
        <v>1142</v>
      </c>
      <c r="D6" s="21">
        <v>1</v>
      </c>
      <c r="E6" s="27">
        <v>754000</v>
      </c>
      <c r="F6" s="27">
        <f t="shared" si="0"/>
        <v>754000</v>
      </c>
      <c r="G6" s="88" t="s">
        <v>320</v>
      </c>
      <c r="H6" s="20" t="s">
        <v>83</v>
      </c>
      <c r="I6" s="3" t="s">
        <v>70</v>
      </c>
      <c r="J6" s="21" t="s">
        <v>71</v>
      </c>
      <c r="K6" s="8" t="s">
        <v>321</v>
      </c>
    </row>
    <row r="7" spans="1:14" ht="22.5" x14ac:dyDescent="0.25">
      <c r="A7" s="5">
        <v>3</v>
      </c>
      <c r="B7" s="8" t="s">
        <v>93</v>
      </c>
      <c r="C7" s="3" t="s">
        <v>1142</v>
      </c>
      <c r="D7" s="21">
        <v>1</v>
      </c>
      <c r="E7" s="27">
        <v>1450000</v>
      </c>
      <c r="F7" s="27">
        <f t="shared" si="0"/>
        <v>1450000</v>
      </c>
      <c r="G7" s="88" t="s">
        <v>320</v>
      </c>
      <c r="H7" s="20" t="s">
        <v>83</v>
      </c>
      <c r="I7" s="3" t="s">
        <v>70</v>
      </c>
      <c r="J7" s="21" t="s">
        <v>71</v>
      </c>
      <c r="K7" s="8" t="s">
        <v>323</v>
      </c>
    </row>
    <row r="8" spans="1:14" ht="22.5" x14ac:dyDescent="0.25">
      <c r="A8" s="5">
        <v>4</v>
      </c>
      <c r="B8" s="8" t="s">
        <v>21</v>
      </c>
      <c r="C8" s="3" t="s">
        <v>1142</v>
      </c>
      <c r="D8" s="21">
        <v>1</v>
      </c>
      <c r="E8" s="27">
        <v>190000</v>
      </c>
      <c r="F8" s="27">
        <f t="shared" si="0"/>
        <v>190000</v>
      </c>
      <c r="G8" s="88" t="s">
        <v>320</v>
      </c>
      <c r="H8" s="20" t="s">
        <v>83</v>
      </c>
      <c r="I8" s="3" t="s">
        <v>70</v>
      </c>
      <c r="J8" s="21" t="s">
        <v>71</v>
      </c>
      <c r="K8" s="8" t="s">
        <v>324</v>
      </c>
    </row>
    <row r="9" spans="1:14" ht="22.5" x14ac:dyDescent="0.25">
      <c r="A9" s="5">
        <v>5</v>
      </c>
      <c r="B9" s="3" t="s">
        <v>325</v>
      </c>
      <c r="C9" s="3" t="s">
        <v>1142</v>
      </c>
      <c r="D9" s="21">
        <v>1</v>
      </c>
      <c r="E9" s="27">
        <f>1100000+176000</f>
        <v>1276000</v>
      </c>
      <c r="F9" s="27">
        <f t="shared" si="0"/>
        <v>1276000</v>
      </c>
      <c r="G9" s="88" t="s">
        <v>320</v>
      </c>
      <c r="H9" s="20" t="s">
        <v>83</v>
      </c>
      <c r="I9" s="3" t="s">
        <v>70</v>
      </c>
      <c r="J9" s="21" t="s">
        <v>71</v>
      </c>
      <c r="K9" s="5" t="s">
        <v>326</v>
      </c>
    </row>
    <row r="10" spans="1:14" ht="22.5" x14ac:dyDescent="0.25">
      <c r="A10" s="5">
        <v>6</v>
      </c>
      <c r="B10" s="8" t="s">
        <v>95</v>
      </c>
      <c r="C10" s="3" t="s">
        <v>1142</v>
      </c>
      <c r="D10" s="21">
        <v>1</v>
      </c>
      <c r="E10" s="27">
        <v>150800</v>
      </c>
      <c r="F10" s="27">
        <f t="shared" si="0"/>
        <v>150800</v>
      </c>
      <c r="G10" s="88" t="s">
        <v>320</v>
      </c>
      <c r="H10" s="20" t="s">
        <v>83</v>
      </c>
      <c r="I10" s="3" t="s">
        <v>70</v>
      </c>
      <c r="J10" s="21" t="s">
        <v>71</v>
      </c>
      <c r="K10" s="3" t="s">
        <v>327</v>
      </c>
    </row>
    <row r="11" spans="1:14" ht="22.5" x14ac:dyDescent="0.25">
      <c r="A11" s="5">
        <v>7</v>
      </c>
      <c r="B11" s="8" t="s">
        <v>22</v>
      </c>
      <c r="C11" s="3" t="s">
        <v>1142</v>
      </c>
      <c r="D11" s="21">
        <v>1</v>
      </c>
      <c r="E11" s="27">
        <f>430000+68800</f>
        <v>498800</v>
      </c>
      <c r="F11" s="27">
        <f t="shared" si="0"/>
        <v>498800</v>
      </c>
      <c r="G11" s="88" t="s">
        <v>320</v>
      </c>
      <c r="H11" s="20" t="s">
        <v>83</v>
      </c>
      <c r="I11" s="3" t="s">
        <v>70</v>
      </c>
      <c r="J11" s="21" t="s">
        <v>71</v>
      </c>
      <c r="K11" s="8" t="s">
        <v>328</v>
      </c>
      <c r="M11" t="s">
        <v>951</v>
      </c>
    </row>
    <row r="12" spans="1:14" ht="22.5" x14ac:dyDescent="0.25">
      <c r="A12" s="5">
        <v>8</v>
      </c>
      <c r="B12" s="8" t="s">
        <v>23</v>
      </c>
      <c r="C12" s="3" t="s">
        <v>1142</v>
      </c>
      <c r="D12" s="21">
        <v>1</v>
      </c>
      <c r="E12" s="27">
        <v>1800000</v>
      </c>
      <c r="F12" s="27">
        <f t="shared" si="0"/>
        <v>1800000</v>
      </c>
      <c r="G12" s="88" t="s">
        <v>320</v>
      </c>
      <c r="H12" s="20" t="s">
        <v>83</v>
      </c>
      <c r="I12" s="3" t="s">
        <v>70</v>
      </c>
      <c r="J12" s="21" t="s">
        <v>71</v>
      </c>
      <c r="K12" s="8" t="s">
        <v>329</v>
      </c>
    </row>
    <row r="13" spans="1:14" ht="22.5" x14ac:dyDescent="0.25">
      <c r="A13" s="5">
        <v>9</v>
      </c>
      <c r="B13" s="8" t="s">
        <v>24</v>
      </c>
      <c r="C13" s="3" t="s">
        <v>1142</v>
      </c>
      <c r="D13" s="21">
        <v>1</v>
      </c>
      <c r="E13" s="27">
        <v>186000</v>
      </c>
      <c r="F13" s="27">
        <f t="shared" si="0"/>
        <v>186000</v>
      </c>
      <c r="G13" s="88" t="s">
        <v>320</v>
      </c>
      <c r="H13" s="20" t="s">
        <v>83</v>
      </c>
      <c r="I13" s="3" t="s">
        <v>70</v>
      </c>
      <c r="J13" s="21" t="s">
        <v>71</v>
      </c>
      <c r="K13" s="3" t="s">
        <v>330</v>
      </c>
    </row>
    <row r="14" spans="1:14" ht="22.5" x14ac:dyDescent="0.25">
      <c r="A14" s="5">
        <v>10</v>
      </c>
      <c r="B14" s="8" t="s">
        <v>25</v>
      </c>
      <c r="C14" s="3" t="s">
        <v>1142</v>
      </c>
      <c r="D14" s="21">
        <v>1</v>
      </c>
      <c r="E14" s="27">
        <v>754000</v>
      </c>
      <c r="F14" s="27">
        <f t="shared" si="0"/>
        <v>754000</v>
      </c>
      <c r="G14" s="88" t="s">
        <v>320</v>
      </c>
      <c r="H14" s="20" t="s">
        <v>83</v>
      </c>
      <c r="I14" s="3" t="s">
        <v>70</v>
      </c>
      <c r="J14" s="21" t="s">
        <v>71</v>
      </c>
      <c r="K14" s="3" t="s">
        <v>331</v>
      </c>
    </row>
    <row r="15" spans="1:14" ht="22.5" x14ac:dyDescent="0.25">
      <c r="A15" s="5">
        <v>11</v>
      </c>
      <c r="B15" s="8" t="s">
        <v>26</v>
      </c>
      <c r="C15" s="3" t="s">
        <v>1142</v>
      </c>
      <c r="D15" s="21">
        <v>1</v>
      </c>
      <c r="E15" s="27">
        <v>187000</v>
      </c>
      <c r="F15" s="27">
        <f t="shared" si="0"/>
        <v>187000</v>
      </c>
      <c r="G15" s="88" t="s">
        <v>320</v>
      </c>
      <c r="H15" s="20" t="s">
        <v>83</v>
      </c>
      <c r="I15" s="3" t="s">
        <v>70</v>
      </c>
      <c r="J15" s="21" t="s">
        <v>71</v>
      </c>
      <c r="K15" s="3" t="s">
        <v>330</v>
      </c>
      <c r="N15" t="s">
        <v>13</v>
      </c>
    </row>
    <row r="16" spans="1:14" ht="22.5" x14ac:dyDescent="0.25">
      <c r="A16" s="5">
        <v>12</v>
      </c>
      <c r="B16" s="8" t="s">
        <v>332</v>
      </c>
      <c r="C16" s="3" t="s">
        <v>1142</v>
      </c>
      <c r="D16" s="21">
        <v>1</v>
      </c>
      <c r="E16" s="27">
        <v>28000</v>
      </c>
      <c r="F16" s="27">
        <f t="shared" si="0"/>
        <v>28000</v>
      </c>
      <c r="G16" s="88" t="s">
        <v>320</v>
      </c>
      <c r="H16" s="21" t="s">
        <v>83</v>
      </c>
      <c r="I16" s="3" t="s">
        <v>70</v>
      </c>
      <c r="J16" s="21" t="s">
        <v>71</v>
      </c>
      <c r="K16" s="8" t="s">
        <v>333</v>
      </c>
    </row>
    <row r="17" spans="1:13" ht="22.5" x14ac:dyDescent="0.25">
      <c r="A17" s="8">
        <v>13</v>
      </c>
      <c r="B17" s="8" t="s">
        <v>94</v>
      </c>
      <c r="C17" s="3" t="s">
        <v>1142</v>
      </c>
      <c r="D17" s="21">
        <v>1</v>
      </c>
      <c r="E17" s="27">
        <v>321000</v>
      </c>
      <c r="F17" s="27">
        <f t="shared" si="0"/>
        <v>321000</v>
      </c>
      <c r="G17" s="88" t="s">
        <v>320</v>
      </c>
      <c r="H17" s="21" t="s">
        <v>83</v>
      </c>
      <c r="I17" s="3" t="s">
        <v>70</v>
      </c>
      <c r="J17" s="21" t="s">
        <v>71</v>
      </c>
      <c r="K17" s="5" t="s">
        <v>334</v>
      </c>
      <c r="M17" t="s">
        <v>13</v>
      </c>
    </row>
    <row r="18" spans="1:13" ht="22.5" x14ac:dyDescent="0.25">
      <c r="A18" s="5" t="s">
        <v>13</v>
      </c>
      <c r="B18" s="8" t="s">
        <v>415</v>
      </c>
      <c r="C18" s="3" t="s">
        <v>1142</v>
      </c>
      <c r="D18" s="21">
        <v>1</v>
      </c>
      <c r="E18" s="33">
        <v>295000</v>
      </c>
      <c r="F18" s="27">
        <f t="shared" si="0"/>
        <v>295000</v>
      </c>
      <c r="G18" s="88" t="s">
        <v>320</v>
      </c>
      <c r="H18" s="21" t="s">
        <v>83</v>
      </c>
      <c r="I18" s="3" t="s">
        <v>70</v>
      </c>
      <c r="J18" s="21" t="s">
        <v>71</v>
      </c>
      <c r="K18" s="5" t="s">
        <v>417</v>
      </c>
    </row>
    <row r="19" spans="1:13" ht="22.5" x14ac:dyDescent="0.25">
      <c r="A19" s="5" t="s">
        <v>13</v>
      </c>
      <c r="B19" s="8" t="s">
        <v>359</v>
      </c>
      <c r="C19" s="3" t="s">
        <v>1142</v>
      </c>
      <c r="D19" s="21">
        <v>1</v>
      </c>
      <c r="E19" s="33">
        <v>300000</v>
      </c>
      <c r="F19" s="27">
        <f t="shared" si="0"/>
        <v>300000</v>
      </c>
      <c r="G19" s="88" t="s">
        <v>320</v>
      </c>
      <c r="H19" s="21" t="s">
        <v>83</v>
      </c>
      <c r="I19" s="3" t="s">
        <v>70</v>
      </c>
      <c r="J19" s="21" t="s">
        <v>71</v>
      </c>
      <c r="K19" s="5" t="s">
        <v>418</v>
      </c>
    </row>
    <row r="20" spans="1:13" ht="33.75" x14ac:dyDescent="0.25">
      <c r="A20" s="5">
        <v>1</v>
      </c>
      <c r="B20" s="7" t="s">
        <v>360</v>
      </c>
      <c r="C20" s="3" t="s">
        <v>1142</v>
      </c>
      <c r="D20" s="21">
        <v>1</v>
      </c>
      <c r="E20" s="33">
        <v>350000</v>
      </c>
      <c r="F20" s="27">
        <f t="shared" si="0"/>
        <v>350000</v>
      </c>
      <c r="G20" s="88" t="s">
        <v>320</v>
      </c>
      <c r="H20" s="21" t="s">
        <v>83</v>
      </c>
      <c r="I20" s="3" t="s">
        <v>70</v>
      </c>
      <c r="J20" s="21" t="s">
        <v>71</v>
      </c>
      <c r="K20" s="5" t="s">
        <v>416</v>
      </c>
    </row>
    <row r="21" spans="1:13" ht="22.5" x14ac:dyDescent="0.25">
      <c r="A21" s="5" t="s">
        <v>13</v>
      </c>
      <c r="B21" s="8" t="s">
        <v>362</v>
      </c>
      <c r="C21" s="3" t="s">
        <v>1142</v>
      </c>
      <c r="D21" s="21">
        <v>1</v>
      </c>
      <c r="E21" s="33">
        <v>35000</v>
      </c>
      <c r="F21" s="27">
        <f t="shared" si="0"/>
        <v>35000</v>
      </c>
      <c r="G21" s="88" t="s">
        <v>320</v>
      </c>
      <c r="H21" s="21" t="s">
        <v>83</v>
      </c>
      <c r="I21" s="3" t="s">
        <v>70</v>
      </c>
      <c r="J21" s="21" t="s">
        <v>71</v>
      </c>
      <c r="K21" s="3" t="s">
        <v>419</v>
      </c>
    </row>
    <row r="22" spans="1:13" ht="22.5" x14ac:dyDescent="0.25">
      <c r="A22" s="5"/>
      <c r="B22" s="8" t="s">
        <v>363</v>
      </c>
      <c r="C22" s="3" t="s">
        <v>1142</v>
      </c>
      <c r="D22" s="21">
        <v>1</v>
      </c>
      <c r="E22" s="33">
        <v>10500</v>
      </c>
      <c r="F22" s="27">
        <f t="shared" si="0"/>
        <v>10500</v>
      </c>
      <c r="G22" s="88" t="s">
        <v>320</v>
      </c>
      <c r="H22" s="21" t="s">
        <v>83</v>
      </c>
      <c r="I22" s="3" t="s">
        <v>70</v>
      </c>
      <c r="J22" s="21" t="s">
        <v>71</v>
      </c>
      <c r="K22" s="5" t="s">
        <v>423</v>
      </c>
    </row>
    <row r="23" spans="1:13" ht="22.5" x14ac:dyDescent="0.25">
      <c r="A23" s="1"/>
      <c r="B23" s="8" t="s">
        <v>364</v>
      </c>
      <c r="C23" s="3" t="s">
        <v>1142</v>
      </c>
      <c r="D23" s="21">
        <v>1</v>
      </c>
      <c r="E23" s="33">
        <v>30000</v>
      </c>
      <c r="F23" s="27">
        <f t="shared" si="0"/>
        <v>30000</v>
      </c>
      <c r="G23" s="88" t="s">
        <v>320</v>
      </c>
      <c r="H23" s="21" t="s">
        <v>83</v>
      </c>
      <c r="I23" s="3" t="s">
        <v>70</v>
      </c>
      <c r="J23" s="21" t="s">
        <v>71</v>
      </c>
      <c r="K23" s="1" t="s">
        <v>421</v>
      </c>
    </row>
    <row r="24" spans="1:13" ht="22.5" x14ac:dyDescent="0.25">
      <c r="A24" s="1"/>
      <c r="B24" s="28" t="s">
        <v>420</v>
      </c>
      <c r="C24" s="3" t="s">
        <v>1142</v>
      </c>
      <c r="D24" s="21">
        <v>1</v>
      </c>
      <c r="E24" s="33">
        <v>10000</v>
      </c>
      <c r="F24" s="27">
        <f t="shared" si="0"/>
        <v>10000</v>
      </c>
      <c r="G24" s="88" t="s">
        <v>320</v>
      </c>
      <c r="H24" s="21" t="s">
        <v>83</v>
      </c>
      <c r="I24" s="3" t="s">
        <v>70</v>
      </c>
      <c r="J24" s="21" t="s">
        <v>71</v>
      </c>
      <c r="K24" s="1" t="s">
        <v>421</v>
      </c>
    </row>
    <row r="25" spans="1:13" ht="22.5" x14ac:dyDescent="0.25">
      <c r="A25" s="1"/>
      <c r="B25" s="12" t="s">
        <v>365</v>
      </c>
      <c r="C25" s="3" t="s">
        <v>1142</v>
      </c>
      <c r="D25" s="21">
        <v>1</v>
      </c>
      <c r="E25" s="33">
        <v>10000</v>
      </c>
      <c r="F25" s="27">
        <f t="shared" si="0"/>
        <v>10000</v>
      </c>
      <c r="G25" s="88" t="s">
        <v>320</v>
      </c>
      <c r="H25" s="21" t="s">
        <v>83</v>
      </c>
      <c r="I25" s="3" t="s">
        <v>70</v>
      </c>
      <c r="J25" s="21" t="s">
        <v>71</v>
      </c>
      <c r="K25" s="1" t="s">
        <v>422</v>
      </c>
    </row>
    <row r="26" spans="1:13" ht="22.5" x14ac:dyDescent="0.25">
      <c r="A26" s="1"/>
      <c r="B26" s="28" t="s">
        <v>366</v>
      </c>
      <c r="C26" s="3" t="s">
        <v>1142</v>
      </c>
      <c r="D26" s="21">
        <v>1</v>
      </c>
      <c r="E26" s="33">
        <v>10000</v>
      </c>
      <c r="F26" s="27">
        <f t="shared" si="0"/>
        <v>10000</v>
      </c>
      <c r="G26" s="88" t="s">
        <v>320</v>
      </c>
      <c r="H26" s="21" t="s">
        <v>83</v>
      </c>
      <c r="I26" s="3" t="s">
        <v>70</v>
      </c>
      <c r="J26" s="21" t="s">
        <v>71</v>
      </c>
      <c r="K26" s="3" t="s">
        <v>368</v>
      </c>
    </row>
    <row r="27" spans="1:13" ht="22.5" x14ac:dyDescent="0.25">
      <c r="A27" s="1"/>
      <c r="B27" s="12" t="s">
        <v>367</v>
      </c>
      <c r="C27" s="3" t="s">
        <v>1142</v>
      </c>
      <c r="D27" s="21">
        <v>1</v>
      </c>
      <c r="E27" s="33">
        <v>10000</v>
      </c>
      <c r="F27" s="27">
        <f t="shared" si="0"/>
        <v>10000</v>
      </c>
      <c r="G27" s="88" t="s">
        <v>320</v>
      </c>
      <c r="H27" s="21" t="s">
        <v>83</v>
      </c>
      <c r="I27" s="3" t="s">
        <v>70</v>
      </c>
      <c r="J27" s="21" t="s">
        <v>71</v>
      </c>
      <c r="K27" s="5" t="s">
        <v>424</v>
      </c>
    </row>
    <row r="28" spans="1:13" ht="45" x14ac:dyDescent="0.25">
      <c r="A28" s="1"/>
      <c r="B28" s="28" t="s">
        <v>369</v>
      </c>
      <c r="C28" s="3" t="s">
        <v>1142</v>
      </c>
      <c r="D28" s="21">
        <v>1</v>
      </c>
      <c r="E28" s="33">
        <v>750000</v>
      </c>
      <c r="F28" s="27">
        <f t="shared" si="0"/>
        <v>750000</v>
      </c>
      <c r="G28" s="88" t="s">
        <v>320</v>
      </c>
      <c r="H28" s="21" t="s">
        <v>83</v>
      </c>
      <c r="I28" s="3" t="s">
        <v>70</v>
      </c>
      <c r="J28" s="21" t="s">
        <v>71</v>
      </c>
      <c r="K28" s="3" t="s">
        <v>425</v>
      </c>
    </row>
    <row r="29" spans="1:13" ht="22.5" x14ac:dyDescent="0.25">
      <c r="A29" s="1"/>
      <c r="B29" s="12" t="s">
        <v>370</v>
      </c>
      <c r="C29" s="3" t="s">
        <v>1142</v>
      </c>
      <c r="D29" s="21">
        <v>1</v>
      </c>
      <c r="E29" s="33">
        <v>700000</v>
      </c>
      <c r="F29" s="27">
        <f t="shared" si="0"/>
        <v>700000</v>
      </c>
      <c r="G29" s="88" t="s">
        <v>320</v>
      </c>
      <c r="H29" s="21" t="s">
        <v>83</v>
      </c>
      <c r="I29" s="3" t="s">
        <v>70</v>
      </c>
      <c r="J29" s="21" t="s">
        <v>71</v>
      </c>
      <c r="K29" s="5" t="s">
        <v>426</v>
      </c>
    </row>
    <row r="30" spans="1:13" ht="22.5" x14ac:dyDescent="0.25">
      <c r="A30" s="1"/>
      <c r="B30" s="28" t="s">
        <v>371</v>
      </c>
      <c r="C30" s="3" t="s">
        <v>1142</v>
      </c>
      <c r="D30" s="21">
        <v>1</v>
      </c>
      <c r="E30" s="33">
        <v>85000</v>
      </c>
      <c r="F30" s="27">
        <f t="shared" si="0"/>
        <v>85000</v>
      </c>
      <c r="G30" s="88" t="s">
        <v>320</v>
      </c>
      <c r="H30" s="21" t="s">
        <v>83</v>
      </c>
      <c r="I30" s="3" t="s">
        <v>70</v>
      </c>
      <c r="J30" s="21" t="s">
        <v>71</v>
      </c>
      <c r="K30" s="5" t="s">
        <v>372</v>
      </c>
    </row>
    <row r="31" spans="1:13" ht="22.5" x14ac:dyDescent="0.25">
      <c r="A31" s="1"/>
      <c r="B31" s="12" t="s">
        <v>373</v>
      </c>
      <c r="C31" s="3" t="s">
        <v>1142</v>
      </c>
      <c r="D31" s="21">
        <v>1</v>
      </c>
      <c r="E31" s="33">
        <v>130000</v>
      </c>
      <c r="F31" s="27">
        <f t="shared" si="0"/>
        <v>130000</v>
      </c>
      <c r="G31" s="88" t="s">
        <v>320</v>
      </c>
      <c r="H31" s="21" t="s">
        <v>83</v>
      </c>
      <c r="I31" s="3" t="s">
        <v>70</v>
      </c>
      <c r="J31" s="21" t="s">
        <v>71</v>
      </c>
      <c r="K31" s="3" t="s">
        <v>374</v>
      </c>
    </row>
    <row r="32" spans="1:13" ht="22.5" x14ac:dyDescent="0.25">
      <c r="A32" s="1"/>
      <c r="B32" s="12" t="s">
        <v>375</v>
      </c>
      <c r="C32" s="3" t="s">
        <v>1142</v>
      </c>
      <c r="D32" s="21">
        <v>1</v>
      </c>
      <c r="E32" s="33">
        <v>220000</v>
      </c>
      <c r="F32" s="27">
        <f t="shared" si="0"/>
        <v>220000</v>
      </c>
      <c r="G32" s="88" t="s">
        <v>320</v>
      </c>
      <c r="H32" s="21" t="s">
        <v>83</v>
      </c>
      <c r="I32" s="3" t="s">
        <v>70</v>
      </c>
      <c r="J32" s="21" t="s">
        <v>71</v>
      </c>
      <c r="K32" s="5" t="s">
        <v>376</v>
      </c>
    </row>
    <row r="33" spans="1:11" ht="22.5" x14ac:dyDescent="0.25">
      <c r="A33" s="1"/>
      <c r="B33" s="7" t="s">
        <v>378</v>
      </c>
      <c r="C33" s="3" t="s">
        <v>1142</v>
      </c>
      <c r="D33" s="21">
        <v>1</v>
      </c>
      <c r="E33" s="33">
        <v>250000</v>
      </c>
      <c r="F33" s="27">
        <f t="shared" si="0"/>
        <v>250000</v>
      </c>
      <c r="G33" s="88" t="s">
        <v>320</v>
      </c>
      <c r="H33" s="21" t="s">
        <v>83</v>
      </c>
      <c r="I33" s="3" t="s">
        <v>70</v>
      </c>
      <c r="J33" s="21" t="s">
        <v>71</v>
      </c>
      <c r="K33" s="5" t="s">
        <v>379</v>
      </c>
    </row>
    <row r="34" spans="1:11" ht="22.5" x14ac:dyDescent="0.25">
      <c r="A34" s="1"/>
      <c r="B34" s="7" t="s">
        <v>380</v>
      </c>
      <c r="C34" s="3" t="s">
        <v>1142</v>
      </c>
      <c r="D34" s="21">
        <v>1</v>
      </c>
      <c r="E34" s="33">
        <v>320000</v>
      </c>
      <c r="F34" s="27">
        <f t="shared" si="0"/>
        <v>320000</v>
      </c>
      <c r="G34" s="88" t="s">
        <v>320</v>
      </c>
      <c r="H34" s="21" t="s">
        <v>83</v>
      </c>
      <c r="I34" s="3" t="s">
        <v>70</v>
      </c>
      <c r="J34" s="21" t="s">
        <v>71</v>
      </c>
      <c r="K34" s="13" t="s">
        <v>381</v>
      </c>
    </row>
    <row r="35" spans="1:11" ht="22.5" x14ac:dyDescent="0.25">
      <c r="A35" s="1"/>
      <c r="B35" s="12" t="s">
        <v>382</v>
      </c>
      <c r="C35" s="3" t="s">
        <v>1142</v>
      </c>
      <c r="D35" s="21">
        <v>1</v>
      </c>
      <c r="E35" s="33">
        <v>50000</v>
      </c>
      <c r="F35" s="27">
        <f t="shared" si="0"/>
        <v>50000</v>
      </c>
      <c r="G35" s="88" t="s">
        <v>320</v>
      </c>
      <c r="H35" s="21" t="s">
        <v>83</v>
      </c>
      <c r="I35" s="3" t="s">
        <v>70</v>
      </c>
      <c r="J35" s="21" t="s">
        <v>71</v>
      </c>
      <c r="K35" s="5" t="s">
        <v>383</v>
      </c>
    </row>
    <row r="36" spans="1:11" ht="22.5" x14ac:dyDescent="0.25">
      <c r="A36" s="1"/>
      <c r="B36" s="13" t="s">
        <v>384</v>
      </c>
      <c r="C36" s="3" t="s">
        <v>1142</v>
      </c>
      <c r="D36" s="21">
        <v>1</v>
      </c>
      <c r="E36" s="33">
        <v>650000</v>
      </c>
      <c r="F36" s="27">
        <f t="shared" si="0"/>
        <v>650000</v>
      </c>
      <c r="G36" s="88" t="s">
        <v>320</v>
      </c>
      <c r="H36" s="21" t="s">
        <v>83</v>
      </c>
      <c r="I36" s="3" t="s">
        <v>70</v>
      </c>
      <c r="J36" s="21" t="s">
        <v>71</v>
      </c>
      <c r="K36" s="3" t="s">
        <v>385</v>
      </c>
    </row>
    <row r="37" spans="1:11" ht="22.5" x14ac:dyDescent="0.25">
      <c r="A37" s="1"/>
      <c r="B37" s="12" t="s">
        <v>386</v>
      </c>
      <c r="C37" s="3" t="s">
        <v>1142</v>
      </c>
      <c r="D37" s="21">
        <v>1</v>
      </c>
      <c r="E37" s="33">
        <v>190000</v>
      </c>
      <c r="F37" s="27">
        <f t="shared" si="0"/>
        <v>190000</v>
      </c>
      <c r="G37" s="88" t="s">
        <v>320</v>
      </c>
      <c r="H37" s="21" t="s">
        <v>83</v>
      </c>
      <c r="I37" s="3" t="s">
        <v>70</v>
      </c>
      <c r="J37" s="21" t="s">
        <v>71</v>
      </c>
      <c r="K37" s="5" t="s">
        <v>387</v>
      </c>
    </row>
    <row r="38" spans="1:11" ht="22.5" x14ac:dyDescent="0.25">
      <c r="A38" s="1"/>
      <c r="B38" s="12" t="s">
        <v>392</v>
      </c>
      <c r="C38" s="3" t="s">
        <v>1142</v>
      </c>
      <c r="D38" s="21">
        <v>1</v>
      </c>
      <c r="E38" s="33">
        <v>350000</v>
      </c>
      <c r="F38" s="27">
        <f t="shared" si="0"/>
        <v>350000</v>
      </c>
      <c r="G38" s="88" t="s">
        <v>320</v>
      </c>
      <c r="H38" s="21" t="s">
        <v>83</v>
      </c>
      <c r="I38" s="3" t="s">
        <v>70</v>
      </c>
      <c r="J38" s="21" t="s">
        <v>71</v>
      </c>
      <c r="K38" s="5" t="s">
        <v>427</v>
      </c>
    </row>
    <row r="39" spans="1:11" ht="36" x14ac:dyDescent="0.25">
      <c r="A39" s="1"/>
      <c r="B39" s="28" t="s">
        <v>448</v>
      </c>
      <c r="C39" s="3" t="s">
        <v>1142</v>
      </c>
      <c r="D39" s="21">
        <v>1</v>
      </c>
      <c r="E39" s="33">
        <v>3500000</v>
      </c>
      <c r="F39" s="27">
        <f t="shared" si="0"/>
        <v>3500000</v>
      </c>
      <c r="G39" s="88" t="s">
        <v>320</v>
      </c>
      <c r="H39" s="21" t="s">
        <v>83</v>
      </c>
      <c r="I39" s="3" t="s">
        <v>70</v>
      </c>
      <c r="J39" s="21" t="s">
        <v>71</v>
      </c>
      <c r="K39" s="40" t="s">
        <v>953</v>
      </c>
    </row>
    <row r="40" spans="1:11" ht="24" x14ac:dyDescent="0.25">
      <c r="A40" s="1"/>
      <c r="B40" s="12" t="s">
        <v>452</v>
      </c>
      <c r="C40" s="3" t="s">
        <v>1142</v>
      </c>
      <c r="D40" s="21">
        <v>1</v>
      </c>
      <c r="E40" s="86">
        <v>380000</v>
      </c>
      <c r="F40" s="27">
        <f t="shared" si="0"/>
        <v>380000</v>
      </c>
      <c r="G40" s="88" t="s">
        <v>320</v>
      </c>
      <c r="H40" s="21" t="s">
        <v>83</v>
      </c>
      <c r="I40" s="3" t="s">
        <v>70</v>
      </c>
      <c r="J40" s="21" t="s">
        <v>71</v>
      </c>
      <c r="K40" s="40" t="s">
        <v>954</v>
      </c>
    </row>
    <row r="41" spans="1:11" ht="24" x14ac:dyDescent="0.25">
      <c r="A41" s="1"/>
      <c r="B41" s="12" t="s">
        <v>453</v>
      </c>
      <c r="C41" s="3" t="s">
        <v>1142</v>
      </c>
      <c r="D41" s="21">
        <v>1</v>
      </c>
      <c r="E41" s="86">
        <v>700000</v>
      </c>
      <c r="F41" s="27">
        <f t="shared" si="0"/>
        <v>700000</v>
      </c>
      <c r="G41" s="88" t="s">
        <v>320</v>
      </c>
      <c r="H41" s="21" t="s">
        <v>83</v>
      </c>
      <c r="I41" s="3" t="s">
        <v>70</v>
      </c>
      <c r="J41" s="21" t="s">
        <v>71</v>
      </c>
      <c r="K41" s="40" t="s">
        <v>955</v>
      </c>
    </row>
    <row r="42" spans="1:11" ht="24" x14ac:dyDescent="0.25">
      <c r="A42" s="1"/>
      <c r="B42" s="12" t="s">
        <v>454</v>
      </c>
      <c r="C42" s="3" t="s">
        <v>1142</v>
      </c>
      <c r="D42" s="21">
        <v>1</v>
      </c>
      <c r="E42" s="86">
        <v>350000</v>
      </c>
      <c r="F42" s="27">
        <f t="shared" si="0"/>
        <v>350000</v>
      </c>
      <c r="G42" s="88" t="s">
        <v>320</v>
      </c>
      <c r="H42" s="21" t="s">
        <v>83</v>
      </c>
      <c r="I42" s="3" t="s">
        <v>70</v>
      </c>
      <c r="J42" s="21" t="s">
        <v>71</v>
      </c>
      <c r="K42" s="40" t="s">
        <v>956</v>
      </c>
    </row>
    <row r="43" spans="1:11" x14ac:dyDescent="0.25">
      <c r="A43" s="1"/>
      <c r="B43" s="1"/>
      <c r="C43" s="1"/>
      <c r="D43" s="1"/>
      <c r="E43" s="86" t="s">
        <v>13</v>
      </c>
      <c r="F43" s="86" t="s">
        <v>13</v>
      </c>
      <c r="G43" s="86" t="s">
        <v>13</v>
      </c>
      <c r="H43" s="21" t="s">
        <v>13</v>
      </c>
      <c r="I43" s="3" t="s">
        <v>13</v>
      </c>
      <c r="J43" s="1"/>
      <c r="K43" s="1"/>
    </row>
    <row r="44" spans="1:11" x14ac:dyDescent="0.25">
      <c r="F44" s="85" t="s">
        <v>13</v>
      </c>
    </row>
    <row r="47" spans="1:11" x14ac:dyDescent="0.25">
      <c r="E47" t="s">
        <v>13</v>
      </c>
    </row>
  </sheetData>
  <mergeCells count="3">
    <mergeCell ref="A1:K1"/>
    <mergeCell ref="I2:K2"/>
    <mergeCell ref="A2:C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workbookViewId="0">
      <selection activeCell="L10" sqref="L10"/>
    </sheetView>
  </sheetViews>
  <sheetFormatPr baseColWidth="10" defaultRowHeight="15" x14ac:dyDescent="0.25"/>
  <cols>
    <col min="1" max="1" width="7.42578125" customWidth="1"/>
    <col min="2" max="2" width="30.42578125" customWidth="1"/>
    <col min="3" max="3" width="24.28515625" customWidth="1"/>
    <col min="4" max="4" width="8.42578125" customWidth="1"/>
    <col min="5" max="5" width="9.42578125" customWidth="1"/>
    <col min="11" max="11" width="20.7109375" customWidth="1"/>
  </cols>
  <sheetData>
    <row r="1" spans="1:11" x14ac:dyDescent="0.25">
      <c r="A1" s="186" t="s">
        <v>1104</v>
      </c>
      <c r="B1" s="187"/>
      <c r="C1" s="187"/>
      <c r="D1" s="187"/>
      <c r="E1" s="187"/>
      <c r="F1" s="187"/>
      <c r="G1" s="187"/>
      <c r="H1" s="187"/>
      <c r="I1" s="187"/>
      <c r="J1" s="187"/>
      <c r="K1" s="188"/>
    </row>
    <row r="2" spans="1:11" x14ac:dyDescent="0.25">
      <c r="A2" s="194" t="s">
        <v>1071</v>
      </c>
      <c r="B2" s="195"/>
      <c r="C2" s="195"/>
      <c r="D2" s="84"/>
      <c r="E2" s="84"/>
      <c r="F2" s="84"/>
      <c r="G2" s="84"/>
      <c r="H2" s="84"/>
      <c r="I2" s="84"/>
      <c r="J2" s="190" t="s">
        <v>960</v>
      </c>
      <c r="K2" s="191"/>
    </row>
    <row r="3" spans="1:11" ht="33.75" x14ac:dyDescent="0.25">
      <c r="A3" s="50" t="s">
        <v>0</v>
      </c>
      <c r="B3" s="17" t="s">
        <v>962</v>
      </c>
      <c r="C3" s="16" t="s">
        <v>964</v>
      </c>
      <c r="D3" s="16" t="s">
        <v>965</v>
      </c>
      <c r="E3" s="16" t="s">
        <v>4</v>
      </c>
      <c r="F3" s="16" t="s">
        <v>357</v>
      </c>
      <c r="G3" s="16" t="s">
        <v>6</v>
      </c>
      <c r="H3" s="16" t="s">
        <v>926</v>
      </c>
      <c r="I3" s="16" t="s">
        <v>8</v>
      </c>
      <c r="J3" s="16" t="s">
        <v>923</v>
      </c>
      <c r="K3" s="60" t="s">
        <v>10</v>
      </c>
    </row>
    <row r="4" spans="1:11" ht="22.5" x14ac:dyDescent="0.25">
      <c r="A4" s="21">
        <v>1</v>
      </c>
      <c r="B4" s="7" t="s">
        <v>56</v>
      </c>
      <c r="C4" s="7" t="s">
        <v>1143</v>
      </c>
      <c r="D4" s="21">
        <v>1</v>
      </c>
      <c r="E4" s="21" t="s">
        <v>69</v>
      </c>
      <c r="F4" s="36">
        <v>1656000</v>
      </c>
      <c r="G4" s="36">
        <f>D4*F4</f>
        <v>1656000</v>
      </c>
      <c r="H4" s="101" t="s">
        <v>927</v>
      </c>
      <c r="I4" s="7" t="s">
        <v>70</v>
      </c>
      <c r="J4" s="7" t="s">
        <v>71</v>
      </c>
      <c r="K4" s="7" t="s">
        <v>72</v>
      </c>
    </row>
    <row r="5" spans="1:11" ht="22.5" x14ac:dyDescent="0.25">
      <c r="A5" s="21">
        <v>2</v>
      </c>
      <c r="B5" s="7" t="s">
        <v>58</v>
      </c>
      <c r="C5" s="7" t="s">
        <v>57</v>
      </c>
      <c r="D5" s="21">
        <v>1</v>
      </c>
      <c r="E5" s="21" t="s">
        <v>69</v>
      </c>
      <c r="F5" s="36">
        <f>550000+19250</f>
        <v>569250</v>
      </c>
      <c r="G5" s="36">
        <f t="shared" ref="G5:G39" si="0">D5*F5</f>
        <v>569250</v>
      </c>
      <c r="H5" s="101" t="s">
        <v>927</v>
      </c>
      <c r="I5" s="7" t="s">
        <v>70</v>
      </c>
      <c r="J5" s="7" t="s">
        <v>71</v>
      </c>
      <c r="K5" s="7" t="s">
        <v>73</v>
      </c>
    </row>
    <row r="6" spans="1:11" ht="22.5" x14ac:dyDescent="0.25">
      <c r="A6" s="21">
        <v>3</v>
      </c>
      <c r="B6" s="7" t="s">
        <v>96</v>
      </c>
      <c r="C6" s="7" t="s">
        <v>1143</v>
      </c>
      <c r="D6" s="21">
        <v>1</v>
      </c>
      <c r="E6" s="21" t="s">
        <v>69</v>
      </c>
      <c r="F6" s="36">
        <v>2587500</v>
      </c>
      <c r="G6" s="36">
        <f t="shared" si="0"/>
        <v>2587500</v>
      </c>
      <c r="H6" s="101" t="s">
        <v>927</v>
      </c>
      <c r="I6" s="7" t="s">
        <v>70</v>
      </c>
      <c r="J6" s="7" t="s">
        <v>71</v>
      </c>
      <c r="K6" s="7" t="s">
        <v>98</v>
      </c>
    </row>
    <row r="7" spans="1:11" ht="22.5" x14ac:dyDescent="0.25">
      <c r="A7" s="21">
        <v>4</v>
      </c>
      <c r="B7" s="7" t="s">
        <v>59</v>
      </c>
      <c r="C7" s="7" t="s">
        <v>1143</v>
      </c>
      <c r="D7" s="21">
        <v>1</v>
      </c>
      <c r="E7" s="21" t="s">
        <v>69</v>
      </c>
      <c r="F7" s="36">
        <v>1863000</v>
      </c>
      <c r="G7" s="36">
        <f t="shared" si="0"/>
        <v>1863000</v>
      </c>
      <c r="H7" s="101" t="s">
        <v>927</v>
      </c>
      <c r="I7" s="7" t="s">
        <v>70</v>
      </c>
      <c r="J7" s="7" t="s">
        <v>71</v>
      </c>
      <c r="K7" s="7" t="s">
        <v>99</v>
      </c>
    </row>
    <row r="8" spans="1:11" ht="22.5" x14ac:dyDescent="0.25">
      <c r="A8" s="21">
        <v>5</v>
      </c>
      <c r="B8" s="7" t="s">
        <v>390</v>
      </c>
      <c r="C8" s="7" t="s">
        <v>1143</v>
      </c>
      <c r="D8" s="21">
        <v>1</v>
      </c>
      <c r="E8" s="21"/>
      <c r="F8" s="36"/>
      <c r="G8" s="36"/>
      <c r="H8" s="101" t="s">
        <v>927</v>
      </c>
      <c r="I8" s="7"/>
      <c r="J8" s="7"/>
      <c r="K8" s="7" t="s">
        <v>391</v>
      </c>
    </row>
    <row r="9" spans="1:11" ht="33.75" x14ac:dyDescent="0.25">
      <c r="A9" s="21">
        <v>6</v>
      </c>
      <c r="B9" s="7" t="s">
        <v>60</v>
      </c>
      <c r="C9" s="7" t="s">
        <v>1143</v>
      </c>
      <c r="D9" s="21">
        <v>1</v>
      </c>
      <c r="E9" s="21" t="s">
        <v>69</v>
      </c>
      <c r="F9" s="36">
        <f>3100000+108500</f>
        <v>3208500</v>
      </c>
      <c r="G9" s="36">
        <f t="shared" si="0"/>
        <v>3208500</v>
      </c>
      <c r="H9" s="101" t="s">
        <v>927</v>
      </c>
      <c r="I9" s="7" t="s">
        <v>70</v>
      </c>
      <c r="J9" s="7" t="s">
        <v>71</v>
      </c>
      <c r="K9" s="7" t="s">
        <v>100</v>
      </c>
    </row>
    <row r="10" spans="1:11" ht="22.5" x14ac:dyDescent="0.25">
      <c r="A10" s="21">
        <v>7</v>
      </c>
      <c r="B10" s="7" t="s">
        <v>61</v>
      </c>
      <c r="C10" s="7" t="s">
        <v>1143</v>
      </c>
      <c r="D10" s="21">
        <v>1</v>
      </c>
      <c r="E10" s="21" t="s">
        <v>69</v>
      </c>
      <c r="F10" s="36">
        <v>1449000</v>
      </c>
      <c r="G10" s="36">
        <f t="shared" si="0"/>
        <v>1449000</v>
      </c>
      <c r="H10" s="101" t="s">
        <v>927</v>
      </c>
      <c r="I10" s="7" t="s">
        <v>70</v>
      </c>
      <c r="J10" s="7" t="s">
        <v>71</v>
      </c>
      <c r="K10" s="7" t="s">
        <v>101</v>
      </c>
    </row>
    <row r="11" spans="1:11" ht="67.5" x14ac:dyDescent="0.25">
      <c r="A11" s="21">
        <v>8</v>
      </c>
      <c r="B11" s="7" t="s">
        <v>62</v>
      </c>
      <c r="C11" s="7" t="s">
        <v>1143</v>
      </c>
      <c r="D11" s="21">
        <v>1</v>
      </c>
      <c r="E11" s="21" t="s">
        <v>69</v>
      </c>
      <c r="F11" s="36">
        <f>450000+15750</f>
        <v>465750</v>
      </c>
      <c r="G11" s="36">
        <f t="shared" si="0"/>
        <v>465750</v>
      </c>
      <c r="H11" s="101" t="s">
        <v>927</v>
      </c>
      <c r="I11" s="7" t="s">
        <v>70</v>
      </c>
      <c r="J11" s="7" t="s">
        <v>71</v>
      </c>
      <c r="K11" s="7" t="s">
        <v>102</v>
      </c>
    </row>
    <row r="12" spans="1:11" ht="22.5" x14ac:dyDescent="0.25">
      <c r="A12" s="21">
        <v>9</v>
      </c>
      <c r="B12" s="7" t="s">
        <v>97</v>
      </c>
      <c r="C12" s="7" t="s">
        <v>1143</v>
      </c>
      <c r="D12" s="21">
        <v>1</v>
      </c>
      <c r="E12" s="21" t="s">
        <v>69</v>
      </c>
      <c r="F12" s="36">
        <v>190000</v>
      </c>
      <c r="G12" s="36">
        <f t="shared" si="0"/>
        <v>190000</v>
      </c>
      <c r="H12" s="101" t="s">
        <v>927</v>
      </c>
      <c r="I12" s="7" t="s">
        <v>70</v>
      </c>
      <c r="J12" s="7" t="s">
        <v>71</v>
      </c>
      <c r="K12" s="7" t="s">
        <v>103</v>
      </c>
    </row>
    <row r="13" spans="1:11" ht="33.75" x14ac:dyDescent="0.25">
      <c r="A13" s="21">
        <v>10</v>
      </c>
      <c r="B13" s="102" t="s">
        <v>63</v>
      </c>
      <c r="C13" s="7" t="s">
        <v>1143</v>
      </c>
      <c r="D13" s="21">
        <v>1</v>
      </c>
      <c r="E13" s="21" t="s">
        <v>69</v>
      </c>
      <c r="F13" s="36">
        <f>205000+7175</f>
        <v>212175</v>
      </c>
      <c r="G13" s="36">
        <f t="shared" si="0"/>
        <v>212175</v>
      </c>
      <c r="H13" s="101" t="s">
        <v>927</v>
      </c>
      <c r="I13" s="7" t="s">
        <v>70</v>
      </c>
      <c r="J13" s="7" t="s">
        <v>71</v>
      </c>
      <c r="K13" s="7" t="s">
        <v>104</v>
      </c>
    </row>
    <row r="14" spans="1:11" ht="22.5" x14ac:dyDescent="0.25">
      <c r="A14" s="21">
        <v>11</v>
      </c>
      <c r="B14" s="103" t="s">
        <v>64</v>
      </c>
      <c r="C14" s="7" t="s">
        <v>1143</v>
      </c>
      <c r="D14" s="21">
        <v>1</v>
      </c>
      <c r="E14" s="21" t="s">
        <v>69</v>
      </c>
      <c r="F14" s="36">
        <f>1050000+36750</f>
        <v>1086750</v>
      </c>
      <c r="G14" s="36">
        <f t="shared" si="0"/>
        <v>1086750</v>
      </c>
      <c r="H14" s="101" t="s">
        <v>927</v>
      </c>
      <c r="I14" s="7" t="s">
        <v>70</v>
      </c>
      <c r="J14" s="7" t="s">
        <v>71</v>
      </c>
      <c r="K14" s="7" t="s">
        <v>105</v>
      </c>
    </row>
    <row r="15" spans="1:11" ht="33.75" x14ac:dyDescent="0.25">
      <c r="A15" s="21">
        <v>12</v>
      </c>
      <c r="B15" s="103" t="s">
        <v>65</v>
      </c>
      <c r="C15" s="7" t="s">
        <v>1143</v>
      </c>
      <c r="D15" s="21">
        <v>1</v>
      </c>
      <c r="E15" s="21" t="s">
        <v>69</v>
      </c>
      <c r="F15" s="36">
        <f>135000+4725</f>
        <v>139725</v>
      </c>
      <c r="G15" s="36">
        <f t="shared" si="0"/>
        <v>139725</v>
      </c>
      <c r="H15" s="101" t="s">
        <v>927</v>
      </c>
      <c r="I15" s="7" t="s">
        <v>70</v>
      </c>
      <c r="J15" s="7" t="s">
        <v>71</v>
      </c>
      <c r="K15" s="7" t="s">
        <v>106</v>
      </c>
    </row>
    <row r="16" spans="1:11" ht="22.5" x14ac:dyDescent="0.25">
      <c r="A16" s="21">
        <v>13</v>
      </c>
      <c r="B16" s="103" t="s">
        <v>377</v>
      </c>
      <c r="C16" s="7" t="s">
        <v>1143</v>
      </c>
      <c r="D16" s="21">
        <v>1</v>
      </c>
      <c r="E16" s="21"/>
      <c r="F16" s="36"/>
      <c r="G16" s="36"/>
      <c r="H16" s="101" t="s">
        <v>927</v>
      </c>
      <c r="I16" s="7"/>
      <c r="J16" s="7"/>
      <c r="K16" s="7"/>
    </row>
    <row r="17" spans="1:11" ht="22.5" x14ac:dyDescent="0.25">
      <c r="A17" s="21">
        <v>14</v>
      </c>
      <c r="B17" s="103" t="s">
        <v>66</v>
      </c>
      <c r="C17" s="7" t="s">
        <v>1143</v>
      </c>
      <c r="D17" s="21">
        <v>1</v>
      </c>
      <c r="E17" s="21" t="s">
        <v>69</v>
      </c>
      <c r="F17" s="36">
        <f>30000+1050</f>
        <v>31050</v>
      </c>
      <c r="G17" s="36">
        <f t="shared" si="0"/>
        <v>31050</v>
      </c>
      <c r="H17" s="101" t="s">
        <v>927</v>
      </c>
      <c r="I17" s="7" t="s">
        <v>70</v>
      </c>
      <c r="J17" s="7" t="s">
        <v>71</v>
      </c>
      <c r="K17" s="7" t="s">
        <v>107</v>
      </c>
    </row>
    <row r="18" spans="1:11" ht="22.5" x14ac:dyDescent="0.25">
      <c r="A18" s="21">
        <v>15</v>
      </c>
      <c r="B18" s="103" t="s">
        <v>67</v>
      </c>
      <c r="C18" s="7" t="s">
        <v>1143</v>
      </c>
      <c r="D18" s="21">
        <v>1</v>
      </c>
      <c r="E18" s="21" t="s">
        <v>69</v>
      </c>
      <c r="F18" s="36">
        <f>220000+7700</f>
        <v>227700</v>
      </c>
      <c r="G18" s="36">
        <f t="shared" si="0"/>
        <v>227700</v>
      </c>
      <c r="H18" s="101" t="s">
        <v>927</v>
      </c>
      <c r="I18" s="7" t="s">
        <v>70</v>
      </c>
      <c r="J18" s="7" t="s">
        <v>71</v>
      </c>
      <c r="K18" s="7" t="s">
        <v>108</v>
      </c>
    </row>
    <row r="19" spans="1:11" ht="22.5" x14ac:dyDescent="0.25">
      <c r="A19" s="21">
        <v>16</v>
      </c>
      <c r="B19" s="104" t="s">
        <v>68</v>
      </c>
      <c r="C19" s="7" t="s">
        <v>1143</v>
      </c>
      <c r="D19" s="21">
        <v>1</v>
      </c>
      <c r="E19" s="21" t="s">
        <v>69</v>
      </c>
      <c r="F19" s="36">
        <v>124200</v>
      </c>
      <c r="G19" s="36">
        <f t="shared" si="0"/>
        <v>124200</v>
      </c>
      <c r="H19" s="101" t="s">
        <v>927</v>
      </c>
      <c r="I19" s="7" t="s">
        <v>70</v>
      </c>
      <c r="J19" s="7" t="s">
        <v>71</v>
      </c>
      <c r="K19" s="7" t="s">
        <v>109</v>
      </c>
    </row>
    <row r="20" spans="1:11" ht="22.5" x14ac:dyDescent="0.25">
      <c r="A20" s="21">
        <v>17</v>
      </c>
      <c r="B20" s="7" t="s">
        <v>74</v>
      </c>
      <c r="C20" s="7" t="s">
        <v>1143</v>
      </c>
      <c r="D20" s="21">
        <v>1</v>
      </c>
      <c r="E20" s="21" t="s">
        <v>69</v>
      </c>
      <c r="F20" s="36">
        <f>1150000+40250</f>
        <v>1190250</v>
      </c>
      <c r="G20" s="36">
        <f t="shared" si="0"/>
        <v>1190250</v>
      </c>
      <c r="H20" s="101" t="s">
        <v>927</v>
      </c>
      <c r="I20" s="7" t="s">
        <v>70</v>
      </c>
      <c r="J20" s="7" t="s">
        <v>71</v>
      </c>
      <c r="K20" s="7" t="s">
        <v>111</v>
      </c>
    </row>
    <row r="21" spans="1:11" ht="22.5" x14ac:dyDescent="0.25">
      <c r="A21" s="21">
        <v>18</v>
      </c>
      <c r="B21" s="102" t="s">
        <v>87</v>
      </c>
      <c r="C21" s="7" t="s">
        <v>1143</v>
      </c>
      <c r="D21" s="21">
        <v>1</v>
      </c>
      <c r="E21" s="21" t="s">
        <v>69</v>
      </c>
      <c r="F21" s="36">
        <v>683100</v>
      </c>
      <c r="G21" s="36">
        <f t="shared" si="0"/>
        <v>683100</v>
      </c>
      <c r="H21" s="101" t="s">
        <v>927</v>
      </c>
      <c r="I21" s="7" t="s">
        <v>70</v>
      </c>
      <c r="J21" s="7" t="s">
        <v>71</v>
      </c>
      <c r="K21" s="7" t="s">
        <v>110</v>
      </c>
    </row>
    <row r="22" spans="1:11" ht="22.5" x14ac:dyDescent="0.25">
      <c r="A22" s="21">
        <v>19</v>
      </c>
      <c r="B22" s="102" t="s">
        <v>88</v>
      </c>
      <c r="C22" s="7" t="s">
        <v>1143</v>
      </c>
      <c r="D22" s="21">
        <v>1</v>
      </c>
      <c r="E22" s="21" t="s">
        <v>69</v>
      </c>
      <c r="F22" s="36">
        <f>729000+25515</f>
        <v>754515</v>
      </c>
      <c r="G22" s="36">
        <f t="shared" si="0"/>
        <v>754515</v>
      </c>
      <c r="H22" s="101" t="s">
        <v>927</v>
      </c>
      <c r="I22" s="7" t="s">
        <v>70</v>
      </c>
      <c r="J22" s="7" t="s">
        <v>71</v>
      </c>
      <c r="K22" s="7" t="s">
        <v>112</v>
      </c>
    </row>
    <row r="23" spans="1:11" ht="22.5" x14ac:dyDescent="0.25">
      <c r="A23" s="21">
        <v>20</v>
      </c>
      <c r="B23" s="102" t="s">
        <v>89</v>
      </c>
      <c r="C23" s="7" t="s">
        <v>1143</v>
      </c>
      <c r="D23" s="21">
        <v>1</v>
      </c>
      <c r="E23" s="21" t="s">
        <v>69</v>
      </c>
      <c r="F23" s="36">
        <f>999000+34965</f>
        <v>1033965</v>
      </c>
      <c r="G23" s="36">
        <f t="shared" si="0"/>
        <v>1033965</v>
      </c>
      <c r="H23" s="101" t="s">
        <v>927</v>
      </c>
      <c r="I23" s="7" t="s">
        <v>70</v>
      </c>
      <c r="J23" s="7" t="s">
        <v>71</v>
      </c>
      <c r="K23" s="7" t="s">
        <v>113</v>
      </c>
    </row>
    <row r="24" spans="1:11" ht="22.5" x14ac:dyDescent="0.25">
      <c r="A24" s="21">
        <v>21</v>
      </c>
      <c r="B24" s="102" t="s">
        <v>90</v>
      </c>
      <c r="C24" s="7" t="s">
        <v>1143</v>
      </c>
      <c r="D24" s="21">
        <v>1</v>
      </c>
      <c r="E24" s="21" t="s">
        <v>69</v>
      </c>
      <c r="F24" s="36">
        <f>550000+88000</f>
        <v>638000</v>
      </c>
      <c r="G24" s="36">
        <f t="shared" si="0"/>
        <v>638000</v>
      </c>
      <c r="H24" s="101" t="s">
        <v>927</v>
      </c>
      <c r="I24" s="7" t="s">
        <v>70</v>
      </c>
      <c r="J24" s="7" t="s">
        <v>71</v>
      </c>
      <c r="K24" s="7" t="s">
        <v>115</v>
      </c>
    </row>
    <row r="25" spans="1:11" ht="22.5" x14ac:dyDescent="0.25">
      <c r="A25" s="21">
        <v>22</v>
      </c>
      <c r="B25" s="104" t="s">
        <v>91</v>
      </c>
      <c r="C25" s="7" t="s">
        <v>1143</v>
      </c>
      <c r="D25" s="21">
        <v>1</v>
      </c>
      <c r="E25" s="21" t="s">
        <v>69</v>
      </c>
      <c r="F25" s="36">
        <f>300000+10500</f>
        <v>310500</v>
      </c>
      <c r="G25" s="36">
        <f t="shared" si="0"/>
        <v>310500</v>
      </c>
      <c r="H25" s="101" t="s">
        <v>927</v>
      </c>
      <c r="I25" s="7" t="s">
        <v>70</v>
      </c>
      <c r="J25" s="7"/>
      <c r="K25" s="7" t="s">
        <v>116</v>
      </c>
    </row>
    <row r="26" spans="1:11" ht="22.5" x14ac:dyDescent="0.25">
      <c r="A26" s="21">
        <v>23</v>
      </c>
      <c r="B26" s="104" t="s">
        <v>75</v>
      </c>
      <c r="C26" s="7" t="s">
        <v>1143</v>
      </c>
      <c r="D26" s="21">
        <v>1</v>
      </c>
      <c r="E26" s="21" t="s">
        <v>69</v>
      </c>
      <c r="F26" s="36">
        <f>610000+21350</f>
        <v>631350</v>
      </c>
      <c r="G26" s="36">
        <f t="shared" si="0"/>
        <v>631350</v>
      </c>
      <c r="H26" s="101" t="s">
        <v>927</v>
      </c>
      <c r="I26" s="7" t="s">
        <v>70</v>
      </c>
      <c r="J26" s="7" t="s">
        <v>71</v>
      </c>
      <c r="K26" s="7" t="s">
        <v>114</v>
      </c>
    </row>
    <row r="27" spans="1:11" ht="22.5" x14ac:dyDescent="0.25">
      <c r="A27" s="21">
        <v>24</v>
      </c>
      <c r="B27" s="105" t="s">
        <v>76</v>
      </c>
      <c r="C27" s="7" t="s">
        <v>1143</v>
      </c>
      <c r="D27" s="21">
        <v>1</v>
      </c>
      <c r="E27" s="21" t="s">
        <v>69</v>
      </c>
      <c r="F27" s="36">
        <v>724500</v>
      </c>
      <c r="G27" s="36">
        <f t="shared" si="0"/>
        <v>724500</v>
      </c>
      <c r="H27" s="101" t="s">
        <v>927</v>
      </c>
      <c r="I27" s="7" t="s">
        <v>70</v>
      </c>
      <c r="J27" s="7" t="s">
        <v>71</v>
      </c>
      <c r="K27" s="105" t="s">
        <v>13</v>
      </c>
    </row>
    <row r="28" spans="1:11" ht="22.5" x14ac:dyDescent="0.25">
      <c r="A28" s="21">
        <v>25</v>
      </c>
      <c r="B28" s="105" t="s">
        <v>77</v>
      </c>
      <c r="C28" s="7" t="s">
        <v>1143</v>
      </c>
      <c r="D28" s="21">
        <v>1</v>
      </c>
      <c r="E28" s="21" t="s">
        <v>69</v>
      </c>
      <c r="F28" s="36">
        <f>1900000+66500</f>
        <v>1966500</v>
      </c>
      <c r="G28" s="36">
        <f t="shared" si="0"/>
        <v>1966500</v>
      </c>
      <c r="H28" s="101" t="s">
        <v>927</v>
      </c>
      <c r="I28" s="7" t="s">
        <v>70</v>
      </c>
      <c r="J28" s="7" t="s">
        <v>71</v>
      </c>
      <c r="K28" s="105" t="s">
        <v>117</v>
      </c>
    </row>
    <row r="29" spans="1:11" ht="22.5" x14ac:dyDescent="0.25">
      <c r="A29" s="21">
        <v>26</v>
      </c>
      <c r="B29" s="106" t="s">
        <v>397</v>
      </c>
      <c r="C29" s="7" t="s">
        <v>1143</v>
      </c>
      <c r="D29" s="21">
        <v>1</v>
      </c>
      <c r="E29" s="21" t="s">
        <v>69</v>
      </c>
      <c r="F29" s="36">
        <f>990000*3.5%+990000</f>
        <v>1024650</v>
      </c>
      <c r="G29" s="36">
        <f t="shared" si="0"/>
        <v>1024650</v>
      </c>
      <c r="H29" s="101" t="s">
        <v>927</v>
      </c>
      <c r="I29" s="7" t="s">
        <v>70</v>
      </c>
      <c r="J29" s="7" t="s">
        <v>71</v>
      </c>
      <c r="K29" s="106" t="s">
        <v>398</v>
      </c>
    </row>
    <row r="30" spans="1:11" ht="22.5" x14ac:dyDescent="0.25">
      <c r="A30" s="21">
        <v>27</v>
      </c>
      <c r="B30" s="7" t="s">
        <v>78</v>
      </c>
      <c r="C30" s="7" t="s">
        <v>1143</v>
      </c>
      <c r="D30" s="21">
        <v>1</v>
      </c>
      <c r="E30" s="21" t="s">
        <v>69</v>
      </c>
      <c r="F30" s="36">
        <f>949000+33215</f>
        <v>982215</v>
      </c>
      <c r="G30" s="36">
        <f t="shared" si="0"/>
        <v>982215</v>
      </c>
      <c r="H30" s="101" t="s">
        <v>927</v>
      </c>
      <c r="I30" s="7" t="s">
        <v>70</v>
      </c>
      <c r="J30" s="7" t="s">
        <v>71</v>
      </c>
      <c r="K30" s="7" t="s">
        <v>118</v>
      </c>
    </row>
    <row r="31" spans="1:11" ht="22.5" x14ac:dyDescent="0.25">
      <c r="A31" s="21">
        <v>28</v>
      </c>
      <c r="B31" s="105" t="s">
        <v>403</v>
      </c>
      <c r="C31" s="7" t="s">
        <v>1143</v>
      </c>
      <c r="D31" s="21">
        <v>1</v>
      </c>
      <c r="E31" s="21" t="s">
        <v>69</v>
      </c>
      <c r="F31" s="36">
        <v>310500</v>
      </c>
      <c r="G31" s="36">
        <f t="shared" si="0"/>
        <v>310500</v>
      </c>
      <c r="H31" s="101" t="s">
        <v>927</v>
      </c>
      <c r="I31" s="7" t="s">
        <v>70</v>
      </c>
      <c r="J31" s="7" t="s">
        <v>71</v>
      </c>
      <c r="K31" s="7" t="s">
        <v>119</v>
      </c>
    </row>
    <row r="32" spans="1:11" ht="22.5" x14ac:dyDescent="0.25">
      <c r="A32" s="21">
        <v>29</v>
      </c>
      <c r="B32" s="7" t="s">
        <v>120</v>
      </c>
      <c r="C32" s="7" t="s">
        <v>1143</v>
      </c>
      <c r="D32" s="21">
        <v>1</v>
      </c>
      <c r="E32" s="21" t="s">
        <v>69</v>
      </c>
      <c r="F32" s="36">
        <f>1300000+45500</f>
        <v>1345500</v>
      </c>
      <c r="G32" s="36">
        <f t="shared" si="0"/>
        <v>1345500</v>
      </c>
      <c r="H32" s="101" t="s">
        <v>927</v>
      </c>
      <c r="I32" s="7" t="s">
        <v>70</v>
      </c>
      <c r="J32" s="7" t="s">
        <v>71</v>
      </c>
      <c r="K32" s="7" t="s">
        <v>121</v>
      </c>
    </row>
    <row r="33" spans="1:12" ht="33.75" x14ac:dyDescent="0.25">
      <c r="A33" s="26">
        <v>30</v>
      </c>
      <c r="B33" s="107" t="s">
        <v>361</v>
      </c>
      <c r="C33" s="7" t="s">
        <v>1143</v>
      </c>
      <c r="D33" s="21">
        <v>1</v>
      </c>
      <c r="E33" s="21" t="s">
        <v>69</v>
      </c>
      <c r="F33" s="36">
        <v>3300000</v>
      </c>
      <c r="G33" s="36"/>
      <c r="H33" s="101" t="s">
        <v>927</v>
      </c>
      <c r="I33" s="7"/>
      <c r="J33" s="7"/>
      <c r="K33" s="7" t="s">
        <v>428</v>
      </c>
    </row>
    <row r="34" spans="1:12" ht="22.5" x14ac:dyDescent="0.25">
      <c r="A34" s="21">
        <v>31</v>
      </c>
      <c r="B34" s="106" t="s">
        <v>79</v>
      </c>
      <c r="C34" s="7" t="s">
        <v>1143</v>
      </c>
      <c r="D34" s="21">
        <v>1</v>
      </c>
      <c r="E34" s="21" t="s">
        <v>69</v>
      </c>
      <c r="F34" s="36">
        <v>2250000</v>
      </c>
      <c r="G34" s="36">
        <f t="shared" si="0"/>
        <v>2250000</v>
      </c>
      <c r="H34" s="101" t="s">
        <v>927</v>
      </c>
      <c r="I34" s="7" t="s">
        <v>70</v>
      </c>
      <c r="J34" s="7" t="s">
        <v>71</v>
      </c>
      <c r="K34" s="7" t="s">
        <v>429</v>
      </c>
    </row>
    <row r="35" spans="1:12" ht="33.75" x14ac:dyDescent="0.25">
      <c r="A35" s="21">
        <v>32</v>
      </c>
      <c r="B35" s="7" t="s">
        <v>80</v>
      </c>
      <c r="C35" s="7" t="s">
        <v>1143</v>
      </c>
      <c r="D35" s="21">
        <v>1</v>
      </c>
      <c r="E35" s="21" t="s">
        <v>69</v>
      </c>
      <c r="F35" s="36">
        <f>180000+6300</f>
        <v>186300</v>
      </c>
      <c r="G35" s="36">
        <f t="shared" si="0"/>
        <v>186300</v>
      </c>
      <c r="H35" s="101" t="s">
        <v>927</v>
      </c>
      <c r="I35" s="7" t="s">
        <v>70</v>
      </c>
      <c r="J35" s="7" t="s">
        <v>71</v>
      </c>
      <c r="K35" s="7" t="s">
        <v>122</v>
      </c>
    </row>
    <row r="36" spans="1:12" ht="22.5" x14ac:dyDescent="0.25">
      <c r="A36" s="108">
        <v>33</v>
      </c>
      <c r="B36" s="109" t="s">
        <v>85</v>
      </c>
      <c r="C36" s="7" t="s">
        <v>1143</v>
      </c>
      <c r="D36" s="21">
        <v>1</v>
      </c>
      <c r="E36" s="21" t="s">
        <v>69</v>
      </c>
      <c r="F36" s="36">
        <f>4700000+164500</f>
        <v>4864500</v>
      </c>
      <c r="G36" s="36">
        <f t="shared" si="0"/>
        <v>4864500</v>
      </c>
      <c r="H36" s="101" t="s">
        <v>927</v>
      </c>
      <c r="I36" s="7" t="s">
        <v>70</v>
      </c>
      <c r="J36" s="7" t="s">
        <v>71</v>
      </c>
      <c r="K36" s="7" t="s">
        <v>123</v>
      </c>
    </row>
    <row r="37" spans="1:12" ht="22.5" x14ac:dyDescent="0.25">
      <c r="A37" s="21">
        <v>34</v>
      </c>
      <c r="B37" s="7" t="s">
        <v>86</v>
      </c>
      <c r="C37" s="7" t="s">
        <v>1143</v>
      </c>
      <c r="D37" s="21">
        <v>1</v>
      </c>
      <c r="E37" s="21" t="s">
        <v>69</v>
      </c>
      <c r="F37" s="36">
        <f>1400000+49000</f>
        <v>1449000</v>
      </c>
      <c r="G37" s="36">
        <f t="shared" si="0"/>
        <v>1449000</v>
      </c>
      <c r="H37" s="101" t="s">
        <v>927</v>
      </c>
      <c r="I37" s="7" t="s">
        <v>70</v>
      </c>
      <c r="J37" s="7" t="s">
        <v>71</v>
      </c>
      <c r="K37" s="7" t="s">
        <v>124</v>
      </c>
    </row>
    <row r="38" spans="1:12" ht="22.5" x14ac:dyDescent="0.25">
      <c r="A38" s="21">
        <v>35</v>
      </c>
      <c r="B38" s="7" t="s">
        <v>81</v>
      </c>
      <c r="C38" s="7" t="s">
        <v>1143</v>
      </c>
      <c r="D38" s="21">
        <v>1</v>
      </c>
      <c r="E38" s="21" t="s">
        <v>69</v>
      </c>
      <c r="F38" s="36">
        <f>980000+34300</f>
        <v>1014300</v>
      </c>
      <c r="G38" s="36">
        <f t="shared" si="0"/>
        <v>1014300</v>
      </c>
      <c r="H38" s="101" t="s">
        <v>927</v>
      </c>
      <c r="I38" s="7" t="s">
        <v>70</v>
      </c>
      <c r="J38" s="7" t="s">
        <v>71</v>
      </c>
      <c r="K38" s="7" t="s">
        <v>125</v>
      </c>
    </row>
    <row r="39" spans="1:12" ht="22.5" x14ac:dyDescent="0.25">
      <c r="A39" s="26">
        <v>36</v>
      </c>
      <c r="B39" s="25" t="s">
        <v>82</v>
      </c>
      <c r="C39" s="7" t="s">
        <v>1143</v>
      </c>
      <c r="D39" s="26">
        <v>1</v>
      </c>
      <c r="E39" s="26" t="s">
        <v>69</v>
      </c>
      <c r="F39" s="89">
        <f>2800000+98000</f>
        <v>2898000</v>
      </c>
      <c r="G39" s="89">
        <f t="shared" si="0"/>
        <v>2898000</v>
      </c>
      <c r="H39" s="110" t="s">
        <v>927</v>
      </c>
      <c r="I39" s="25" t="s">
        <v>70</v>
      </c>
      <c r="J39" s="25" t="s">
        <v>71</v>
      </c>
      <c r="K39" s="25" t="s">
        <v>126</v>
      </c>
    </row>
    <row r="40" spans="1:12" ht="22.5" x14ac:dyDescent="0.25">
      <c r="A40" s="21">
        <v>37</v>
      </c>
      <c r="B40" s="7" t="s">
        <v>446</v>
      </c>
      <c r="C40" s="7" t="s">
        <v>1143</v>
      </c>
      <c r="D40" s="21">
        <v>1</v>
      </c>
      <c r="E40" s="21" t="s">
        <v>69</v>
      </c>
      <c r="F40" s="36">
        <v>7000000</v>
      </c>
      <c r="G40" s="36">
        <v>7000000</v>
      </c>
      <c r="H40" s="110" t="s">
        <v>927</v>
      </c>
      <c r="I40" s="25" t="s">
        <v>70</v>
      </c>
      <c r="J40" s="25" t="s">
        <v>71</v>
      </c>
      <c r="K40" s="25" t="s">
        <v>1069</v>
      </c>
    </row>
    <row r="41" spans="1:12" ht="22.5" x14ac:dyDescent="0.25">
      <c r="A41" s="19">
        <v>38</v>
      </c>
      <c r="B41" s="7" t="s">
        <v>447</v>
      </c>
      <c r="C41" s="7" t="s">
        <v>1143</v>
      </c>
      <c r="D41" s="21">
        <v>1</v>
      </c>
      <c r="E41" s="21" t="s">
        <v>69</v>
      </c>
      <c r="F41" s="64">
        <v>5000000</v>
      </c>
      <c r="G41" s="64">
        <v>5000000</v>
      </c>
      <c r="H41" s="111" t="s">
        <v>927</v>
      </c>
      <c r="I41" s="7" t="s">
        <v>70</v>
      </c>
      <c r="J41" s="7" t="s">
        <v>71</v>
      </c>
      <c r="K41" s="28" t="s">
        <v>1070</v>
      </c>
      <c r="L41" s="1"/>
    </row>
  </sheetData>
  <mergeCells count="3">
    <mergeCell ref="A1:K1"/>
    <mergeCell ref="A2:C2"/>
    <mergeCell ref="J2:K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workbookViewId="0">
      <selection activeCell="P5" sqref="P5"/>
    </sheetView>
  </sheetViews>
  <sheetFormatPr baseColWidth="10" defaultRowHeight="15" x14ac:dyDescent="0.25"/>
  <cols>
    <col min="1" max="1" width="6" customWidth="1"/>
    <col min="2" max="2" width="27.42578125" customWidth="1"/>
    <col min="3" max="3" width="14" customWidth="1"/>
    <col min="4" max="4" width="7" customWidth="1"/>
    <col min="5" max="5" width="7.7109375" customWidth="1"/>
    <col min="11" max="11" width="22.5703125" customWidth="1"/>
  </cols>
  <sheetData>
    <row r="1" spans="1:11" ht="15.75" x14ac:dyDescent="0.25">
      <c r="A1" s="196" t="s">
        <v>1105</v>
      </c>
      <c r="B1" s="197"/>
      <c r="C1" s="197"/>
      <c r="D1" s="197"/>
      <c r="E1" s="197"/>
      <c r="F1" s="197"/>
      <c r="G1" s="197"/>
      <c r="H1" s="197"/>
      <c r="I1" s="197"/>
      <c r="J1" s="197"/>
      <c r="K1" s="197"/>
    </row>
    <row r="2" spans="1:11" ht="15.75" x14ac:dyDescent="0.25">
      <c r="A2" s="198" t="s">
        <v>966</v>
      </c>
      <c r="B2" s="199"/>
      <c r="C2" s="91"/>
      <c r="D2" s="91"/>
      <c r="E2" s="91"/>
      <c r="F2" s="91"/>
      <c r="G2" s="91"/>
      <c r="H2" s="199" t="s">
        <v>967</v>
      </c>
      <c r="I2" s="199"/>
      <c r="J2" s="199"/>
      <c r="K2" s="200"/>
    </row>
    <row r="3" spans="1:11" ht="45" x14ac:dyDescent="0.25">
      <c r="A3" s="90" t="s">
        <v>0</v>
      </c>
      <c r="B3" s="42" t="s">
        <v>1</v>
      </c>
      <c r="C3" s="43" t="s">
        <v>2</v>
      </c>
      <c r="D3" s="42" t="s">
        <v>3</v>
      </c>
      <c r="E3" s="42" t="s">
        <v>4</v>
      </c>
      <c r="F3" s="42" t="s">
        <v>352</v>
      </c>
      <c r="G3" s="42" t="s">
        <v>9</v>
      </c>
      <c r="H3" s="42" t="s">
        <v>6</v>
      </c>
      <c r="I3" s="42" t="s">
        <v>7</v>
      </c>
      <c r="J3" s="42" t="s">
        <v>8</v>
      </c>
      <c r="K3" s="42" t="s">
        <v>10</v>
      </c>
    </row>
    <row r="4" spans="1:11" ht="36" x14ac:dyDescent="0.25">
      <c r="A4" s="115">
        <v>1</v>
      </c>
      <c r="B4" s="112" t="s">
        <v>838</v>
      </c>
      <c r="C4" s="51" t="s">
        <v>695</v>
      </c>
      <c r="D4" s="100">
        <v>1</v>
      </c>
      <c r="E4" s="100" t="s">
        <v>12</v>
      </c>
      <c r="F4" s="87">
        <v>2464</v>
      </c>
      <c r="G4" s="116">
        <f>D4*F4</f>
        <v>2464</v>
      </c>
      <c r="H4" s="83" t="s">
        <v>835</v>
      </c>
      <c r="I4" s="83" t="s">
        <v>836</v>
      </c>
      <c r="J4" s="83" t="s">
        <v>71</v>
      </c>
      <c r="K4" s="40" t="s">
        <v>865</v>
      </c>
    </row>
    <row r="5" spans="1:11" ht="51" x14ac:dyDescent="0.25">
      <c r="A5" s="115">
        <v>2</v>
      </c>
      <c r="B5" s="112" t="s">
        <v>839</v>
      </c>
      <c r="C5" s="51" t="s">
        <v>695</v>
      </c>
      <c r="D5" s="100">
        <v>1</v>
      </c>
      <c r="E5" s="100" t="s">
        <v>12</v>
      </c>
      <c r="F5" s="117">
        <f>25875*19%+25875</f>
        <v>30791.25</v>
      </c>
      <c r="G5" s="116">
        <f t="shared" ref="G5:G30" si="0">D5*F5</f>
        <v>30791.25</v>
      </c>
      <c r="H5" s="83" t="s">
        <v>835</v>
      </c>
      <c r="I5" s="83" t="s">
        <v>836</v>
      </c>
      <c r="J5" s="83" t="s">
        <v>71</v>
      </c>
      <c r="K5" s="40" t="s">
        <v>865</v>
      </c>
    </row>
    <row r="6" spans="1:11" ht="36" x14ac:dyDescent="0.25">
      <c r="A6" s="115">
        <v>3</v>
      </c>
      <c r="B6" s="112" t="s">
        <v>840</v>
      </c>
      <c r="C6" s="51" t="s">
        <v>695</v>
      </c>
      <c r="D6" s="100">
        <v>1</v>
      </c>
      <c r="E6" s="100" t="s">
        <v>12</v>
      </c>
      <c r="F6" s="117">
        <f>18630*19%+18630</f>
        <v>22169.7</v>
      </c>
      <c r="G6" s="116">
        <f t="shared" si="0"/>
        <v>22169.7</v>
      </c>
      <c r="H6" s="83" t="s">
        <v>835</v>
      </c>
      <c r="I6" s="83" t="s">
        <v>836</v>
      </c>
      <c r="J6" s="83" t="s">
        <v>71</v>
      </c>
      <c r="K6" s="40" t="s">
        <v>865</v>
      </c>
    </row>
    <row r="7" spans="1:11" ht="36" x14ac:dyDescent="0.25">
      <c r="A7" s="115">
        <v>4</v>
      </c>
      <c r="B7" s="112" t="s">
        <v>841</v>
      </c>
      <c r="C7" s="51" t="s">
        <v>695</v>
      </c>
      <c r="D7" s="100">
        <v>1</v>
      </c>
      <c r="E7" s="100" t="s">
        <v>12</v>
      </c>
      <c r="F7" s="117">
        <f>39330*19%+39330</f>
        <v>46802.7</v>
      </c>
      <c r="G7" s="116">
        <f t="shared" si="0"/>
        <v>46802.7</v>
      </c>
      <c r="H7" s="83" t="s">
        <v>835</v>
      </c>
      <c r="I7" s="83" t="s">
        <v>836</v>
      </c>
      <c r="J7" s="83" t="s">
        <v>71</v>
      </c>
      <c r="K7" s="40" t="s">
        <v>865</v>
      </c>
    </row>
    <row r="8" spans="1:11" ht="36" x14ac:dyDescent="0.25">
      <c r="A8" s="115">
        <v>5</v>
      </c>
      <c r="B8" s="112" t="s">
        <v>842</v>
      </c>
      <c r="C8" s="51" t="s">
        <v>695</v>
      </c>
      <c r="D8" s="100">
        <v>1</v>
      </c>
      <c r="E8" s="100" t="s">
        <v>12</v>
      </c>
      <c r="F8" s="117">
        <f>20700*19%+20700</f>
        <v>24633</v>
      </c>
      <c r="G8" s="116">
        <f t="shared" si="0"/>
        <v>24633</v>
      </c>
      <c r="H8" s="83" t="s">
        <v>835</v>
      </c>
      <c r="I8" s="83" t="s">
        <v>836</v>
      </c>
      <c r="J8" s="83" t="s">
        <v>71</v>
      </c>
      <c r="K8" s="40" t="s">
        <v>865</v>
      </c>
    </row>
    <row r="9" spans="1:11" ht="36" x14ac:dyDescent="0.25">
      <c r="A9" s="115">
        <v>6</v>
      </c>
      <c r="B9" s="112" t="s">
        <v>843</v>
      </c>
      <c r="C9" s="51" t="s">
        <v>695</v>
      </c>
      <c r="D9" s="100">
        <v>1</v>
      </c>
      <c r="E9" s="100" t="s">
        <v>12</v>
      </c>
      <c r="F9" s="117">
        <f>15525*19%+15525</f>
        <v>18474.75</v>
      </c>
      <c r="G9" s="116">
        <f t="shared" si="0"/>
        <v>18474.75</v>
      </c>
      <c r="H9" s="83" t="s">
        <v>835</v>
      </c>
      <c r="I9" s="83" t="s">
        <v>836</v>
      </c>
      <c r="J9" s="83" t="s">
        <v>71</v>
      </c>
      <c r="K9" s="40" t="s">
        <v>865</v>
      </c>
    </row>
    <row r="10" spans="1:11" ht="36" x14ac:dyDescent="0.25">
      <c r="A10" s="115">
        <v>7</v>
      </c>
      <c r="B10" s="112" t="s">
        <v>844</v>
      </c>
      <c r="C10" s="51" t="s">
        <v>695</v>
      </c>
      <c r="D10" s="100">
        <v>1</v>
      </c>
      <c r="E10" s="100" t="s">
        <v>12</v>
      </c>
      <c r="F10" s="117">
        <f>20700*19%+20700</f>
        <v>24633</v>
      </c>
      <c r="G10" s="116">
        <f t="shared" si="0"/>
        <v>24633</v>
      </c>
      <c r="H10" s="83" t="s">
        <v>835</v>
      </c>
      <c r="I10" s="83" t="s">
        <v>836</v>
      </c>
      <c r="J10" s="83" t="s">
        <v>71</v>
      </c>
      <c r="K10" s="40" t="s">
        <v>865</v>
      </c>
    </row>
    <row r="11" spans="1:11" ht="36" x14ac:dyDescent="0.25">
      <c r="A11" s="115">
        <v>8</v>
      </c>
      <c r="B11" s="112" t="s">
        <v>845</v>
      </c>
      <c r="C11" s="51" t="s">
        <v>695</v>
      </c>
      <c r="D11" s="100">
        <v>1</v>
      </c>
      <c r="E11" s="100" t="s">
        <v>12</v>
      </c>
      <c r="F11" s="117">
        <f t="shared" ref="F11:F12" si="1">20700*19%+20700</f>
        <v>24633</v>
      </c>
      <c r="G11" s="116">
        <f t="shared" si="0"/>
        <v>24633</v>
      </c>
      <c r="H11" s="83" t="s">
        <v>835</v>
      </c>
      <c r="I11" s="83" t="s">
        <v>836</v>
      </c>
      <c r="J11" s="83" t="s">
        <v>71</v>
      </c>
      <c r="K11" s="40" t="s">
        <v>865</v>
      </c>
    </row>
    <row r="12" spans="1:11" ht="38.25" x14ac:dyDescent="0.25">
      <c r="A12" s="115">
        <v>9</v>
      </c>
      <c r="B12" s="112" t="s">
        <v>846</v>
      </c>
      <c r="C12" s="51" t="s">
        <v>695</v>
      </c>
      <c r="D12" s="100">
        <v>1</v>
      </c>
      <c r="E12" s="100" t="s">
        <v>12</v>
      </c>
      <c r="F12" s="117">
        <f t="shared" si="1"/>
        <v>24633</v>
      </c>
      <c r="G12" s="116">
        <f t="shared" si="0"/>
        <v>24633</v>
      </c>
      <c r="H12" s="83" t="s">
        <v>835</v>
      </c>
      <c r="I12" s="83" t="s">
        <v>836</v>
      </c>
      <c r="J12" s="83" t="s">
        <v>71</v>
      </c>
      <c r="K12" s="40" t="s">
        <v>865</v>
      </c>
    </row>
    <row r="13" spans="1:11" ht="36" x14ac:dyDescent="0.25">
      <c r="A13" s="115">
        <v>10</v>
      </c>
      <c r="B13" s="114" t="s">
        <v>847</v>
      </c>
      <c r="C13" s="51" t="s">
        <v>695</v>
      </c>
      <c r="D13" s="100">
        <v>1</v>
      </c>
      <c r="E13" s="100" t="s">
        <v>12</v>
      </c>
      <c r="F13" s="117">
        <f>103500*19%+103500</f>
        <v>123165</v>
      </c>
      <c r="G13" s="116">
        <f t="shared" si="0"/>
        <v>123165</v>
      </c>
      <c r="H13" s="83" t="s">
        <v>835</v>
      </c>
      <c r="I13" s="83" t="s">
        <v>836</v>
      </c>
      <c r="J13" s="83" t="s">
        <v>71</v>
      </c>
      <c r="K13" s="40" t="s">
        <v>865</v>
      </c>
    </row>
    <row r="14" spans="1:11" ht="36" x14ac:dyDescent="0.25">
      <c r="A14" s="115">
        <v>11</v>
      </c>
      <c r="B14" s="114" t="s">
        <v>848</v>
      </c>
      <c r="C14" s="51" t="s">
        <v>695</v>
      </c>
      <c r="D14" s="100">
        <v>1</v>
      </c>
      <c r="E14" s="100" t="s">
        <v>12</v>
      </c>
      <c r="F14" s="117">
        <f>103500*19%+103500</f>
        <v>123165</v>
      </c>
      <c r="G14" s="116">
        <f t="shared" si="0"/>
        <v>123165</v>
      </c>
      <c r="H14" s="83" t="s">
        <v>835</v>
      </c>
      <c r="I14" s="83" t="s">
        <v>836</v>
      </c>
      <c r="J14" s="83" t="s">
        <v>71</v>
      </c>
      <c r="K14" s="40" t="s">
        <v>865</v>
      </c>
    </row>
    <row r="15" spans="1:11" ht="36" x14ac:dyDescent="0.25">
      <c r="A15" s="115">
        <v>12</v>
      </c>
      <c r="B15" s="114" t="s">
        <v>849</v>
      </c>
      <c r="C15" s="51" t="s">
        <v>695</v>
      </c>
      <c r="D15" s="100">
        <v>1</v>
      </c>
      <c r="E15" s="100" t="s">
        <v>12</v>
      </c>
      <c r="F15" s="117">
        <f>72450*19%+72450</f>
        <v>86215.5</v>
      </c>
      <c r="G15" s="116">
        <f t="shared" si="0"/>
        <v>86215.5</v>
      </c>
      <c r="H15" s="83" t="s">
        <v>835</v>
      </c>
      <c r="I15" s="83" t="s">
        <v>836</v>
      </c>
      <c r="J15" s="83" t="s">
        <v>71</v>
      </c>
      <c r="K15" s="40" t="s">
        <v>865</v>
      </c>
    </row>
    <row r="16" spans="1:11" ht="36" x14ac:dyDescent="0.25">
      <c r="A16" s="115">
        <v>13</v>
      </c>
      <c r="B16" s="114" t="s">
        <v>850</v>
      </c>
      <c r="C16" s="51" t="s">
        <v>695</v>
      </c>
      <c r="D16" s="100">
        <v>1</v>
      </c>
      <c r="E16" s="100" t="s">
        <v>12</v>
      </c>
      <c r="F16" s="117">
        <f>72450*19%+72450</f>
        <v>86215.5</v>
      </c>
      <c r="G16" s="116">
        <f t="shared" si="0"/>
        <v>86215.5</v>
      </c>
      <c r="H16" s="83" t="s">
        <v>835</v>
      </c>
      <c r="I16" s="83" t="s">
        <v>836</v>
      </c>
      <c r="J16" s="83" t="s">
        <v>71</v>
      </c>
      <c r="K16" s="40" t="s">
        <v>865</v>
      </c>
    </row>
    <row r="17" spans="1:11" ht="36" x14ac:dyDescent="0.25">
      <c r="A17" s="115">
        <v>14</v>
      </c>
      <c r="B17" s="114" t="s">
        <v>851</v>
      </c>
      <c r="C17" s="51" t="s">
        <v>695</v>
      </c>
      <c r="D17" s="100">
        <v>1</v>
      </c>
      <c r="E17" s="100" t="s">
        <v>12</v>
      </c>
      <c r="F17" s="117">
        <f>72450*19%+72450</f>
        <v>86215.5</v>
      </c>
      <c r="G17" s="116">
        <f t="shared" si="0"/>
        <v>86215.5</v>
      </c>
      <c r="H17" s="83" t="s">
        <v>835</v>
      </c>
      <c r="I17" s="83" t="s">
        <v>836</v>
      </c>
      <c r="J17" s="83" t="s">
        <v>71</v>
      </c>
      <c r="K17" s="40" t="s">
        <v>865</v>
      </c>
    </row>
    <row r="18" spans="1:11" ht="36" x14ac:dyDescent="0.25">
      <c r="A18" s="115">
        <v>15</v>
      </c>
      <c r="B18" s="114" t="s">
        <v>852</v>
      </c>
      <c r="C18" s="51" t="s">
        <v>695</v>
      </c>
      <c r="D18" s="100">
        <v>1</v>
      </c>
      <c r="E18" s="100" t="s">
        <v>12</v>
      </c>
      <c r="F18" s="117">
        <f>51750*19%+51750</f>
        <v>61582.5</v>
      </c>
      <c r="G18" s="116">
        <f t="shared" si="0"/>
        <v>61582.5</v>
      </c>
      <c r="H18" s="83" t="s">
        <v>835</v>
      </c>
      <c r="I18" s="83" t="s">
        <v>836</v>
      </c>
      <c r="J18" s="83" t="s">
        <v>71</v>
      </c>
      <c r="K18" s="40" t="s">
        <v>865</v>
      </c>
    </row>
    <row r="19" spans="1:11" ht="36" x14ac:dyDescent="0.25">
      <c r="A19" s="115">
        <v>16</v>
      </c>
      <c r="B19" s="114" t="s">
        <v>853</v>
      </c>
      <c r="C19" s="51" t="s">
        <v>695</v>
      </c>
      <c r="D19" s="100">
        <v>1</v>
      </c>
      <c r="E19" s="100" t="s">
        <v>12</v>
      </c>
      <c r="F19" s="117">
        <f>51750*19%+51750</f>
        <v>61582.5</v>
      </c>
      <c r="G19" s="116">
        <f t="shared" si="0"/>
        <v>61582.5</v>
      </c>
      <c r="H19" s="83" t="s">
        <v>835</v>
      </c>
      <c r="I19" s="83" t="s">
        <v>836</v>
      </c>
      <c r="J19" s="83" t="s">
        <v>71</v>
      </c>
      <c r="K19" s="40" t="s">
        <v>865</v>
      </c>
    </row>
    <row r="20" spans="1:11" ht="36" x14ac:dyDescent="0.25">
      <c r="A20" s="115">
        <v>17</v>
      </c>
      <c r="B20" s="114" t="s">
        <v>854</v>
      </c>
      <c r="C20" s="51" t="s">
        <v>695</v>
      </c>
      <c r="D20" s="100">
        <v>1</v>
      </c>
      <c r="E20" s="100" t="s">
        <v>12</v>
      </c>
      <c r="F20" s="117">
        <f>46575*19%+46575</f>
        <v>55424.25</v>
      </c>
      <c r="G20" s="116">
        <f t="shared" si="0"/>
        <v>55424.25</v>
      </c>
      <c r="H20" s="83" t="s">
        <v>835</v>
      </c>
      <c r="I20" s="83" t="s">
        <v>836</v>
      </c>
      <c r="J20" s="83" t="s">
        <v>71</v>
      </c>
      <c r="K20" s="40" t="s">
        <v>865</v>
      </c>
    </row>
    <row r="21" spans="1:11" ht="36" x14ac:dyDescent="0.25">
      <c r="A21" s="115">
        <v>18</v>
      </c>
      <c r="B21" s="114" t="s">
        <v>855</v>
      </c>
      <c r="C21" s="51" t="s">
        <v>695</v>
      </c>
      <c r="D21" s="100">
        <v>1</v>
      </c>
      <c r="E21" s="100" t="s">
        <v>12</v>
      </c>
      <c r="F21" s="117">
        <f>74520*19%+74250</f>
        <v>88408.8</v>
      </c>
      <c r="G21" s="116">
        <f t="shared" si="0"/>
        <v>88408.8</v>
      </c>
      <c r="H21" s="83" t="s">
        <v>835</v>
      </c>
      <c r="I21" s="83" t="s">
        <v>836</v>
      </c>
      <c r="J21" s="83" t="s">
        <v>71</v>
      </c>
      <c r="K21" s="40" t="s">
        <v>865</v>
      </c>
    </row>
    <row r="22" spans="1:11" ht="36" x14ac:dyDescent="0.25">
      <c r="A22" s="115">
        <v>19</v>
      </c>
      <c r="B22" s="114" t="s">
        <v>856</v>
      </c>
      <c r="C22" s="51" t="s">
        <v>695</v>
      </c>
      <c r="D22" s="100">
        <v>1</v>
      </c>
      <c r="E22" s="100" t="s">
        <v>12</v>
      </c>
      <c r="F22" s="117">
        <f>56925*19%+56925</f>
        <v>67740.75</v>
      </c>
      <c r="G22" s="116">
        <f t="shared" si="0"/>
        <v>67740.75</v>
      </c>
      <c r="H22" s="83" t="s">
        <v>835</v>
      </c>
      <c r="I22" s="83" t="s">
        <v>836</v>
      </c>
      <c r="J22" s="83" t="s">
        <v>71</v>
      </c>
      <c r="K22" s="40" t="s">
        <v>865</v>
      </c>
    </row>
    <row r="23" spans="1:11" ht="36" x14ac:dyDescent="0.25">
      <c r="A23" s="115">
        <v>20</v>
      </c>
      <c r="B23" s="114" t="s">
        <v>857</v>
      </c>
      <c r="C23" s="51" t="s">
        <v>695</v>
      </c>
      <c r="D23" s="100">
        <v>1</v>
      </c>
      <c r="E23" s="100" t="s">
        <v>12</v>
      </c>
      <c r="F23" s="117">
        <f>31050*19%+30000</f>
        <v>35899.5</v>
      </c>
      <c r="G23" s="116">
        <f t="shared" si="0"/>
        <v>35899.5</v>
      </c>
      <c r="H23" s="83" t="s">
        <v>835</v>
      </c>
      <c r="I23" s="83" t="s">
        <v>836</v>
      </c>
      <c r="J23" s="83" t="s">
        <v>71</v>
      </c>
      <c r="K23" s="40" t="s">
        <v>865</v>
      </c>
    </row>
    <row r="24" spans="1:11" ht="36" x14ac:dyDescent="0.25">
      <c r="A24" s="115">
        <v>21</v>
      </c>
      <c r="B24" s="114" t="s">
        <v>858</v>
      </c>
      <c r="C24" s="51" t="s">
        <v>695</v>
      </c>
      <c r="D24" s="100">
        <v>1</v>
      </c>
      <c r="E24" s="100" t="s">
        <v>12</v>
      </c>
      <c r="F24" s="117">
        <f>62100*19%+62100</f>
        <v>73899</v>
      </c>
      <c r="G24" s="116">
        <f t="shared" si="0"/>
        <v>73899</v>
      </c>
      <c r="H24" s="83" t="s">
        <v>835</v>
      </c>
      <c r="I24" s="83" t="s">
        <v>836</v>
      </c>
      <c r="J24" s="83" t="s">
        <v>71</v>
      </c>
      <c r="K24" s="40" t="s">
        <v>865</v>
      </c>
    </row>
    <row r="25" spans="1:11" ht="36" x14ac:dyDescent="0.25">
      <c r="A25" s="115">
        <v>22</v>
      </c>
      <c r="B25" s="114" t="s">
        <v>859</v>
      </c>
      <c r="C25" s="51" t="s">
        <v>695</v>
      </c>
      <c r="D25" s="100">
        <v>1</v>
      </c>
      <c r="E25" s="100" t="s">
        <v>12</v>
      </c>
      <c r="F25" s="117">
        <f>25000*3.5%+25000</f>
        <v>25875</v>
      </c>
      <c r="G25" s="116">
        <f t="shared" si="0"/>
        <v>25875</v>
      </c>
      <c r="H25" s="83" t="s">
        <v>835</v>
      </c>
      <c r="I25" s="83" t="s">
        <v>836</v>
      </c>
      <c r="J25" s="83" t="s">
        <v>71</v>
      </c>
      <c r="K25" s="40" t="s">
        <v>865</v>
      </c>
    </row>
    <row r="26" spans="1:11" ht="36" x14ac:dyDescent="0.25">
      <c r="A26" s="115">
        <v>23</v>
      </c>
      <c r="B26" s="114" t="s">
        <v>860</v>
      </c>
      <c r="C26" s="51" t="s">
        <v>695</v>
      </c>
      <c r="D26" s="100">
        <v>1</v>
      </c>
      <c r="E26" s="100" t="s">
        <v>12</v>
      </c>
      <c r="F26" s="117">
        <f>25875*19%+25785</f>
        <v>30701.25</v>
      </c>
      <c r="G26" s="116">
        <f t="shared" si="0"/>
        <v>30701.25</v>
      </c>
      <c r="H26" s="83" t="s">
        <v>835</v>
      </c>
      <c r="I26" s="83" t="s">
        <v>836</v>
      </c>
      <c r="J26" s="83" t="s">
        <v>71</v>
      </c>
      <c r="K26" s="40" t="s">
        <v>865</v>
      </c>
    </row>
    <row r="27" spans="1:11" ht="36" x14ac:dyDescent="0.25">
      <c r="A27" s="115">
        <v>24</v>
      </c>
      <c r="B27" s="114" t="s">
        <v>861</v>
      </c>
      <c r="C27" s="51" t="s">
        <v>695</v>
      </c>
      <c r="D27" s="100">
        <v>1</v>
      </c>
      <c r="E27" s="100" t="s">
        <v>12</v>
      </c>
      <c r="F27" s="117">
        <f>103500*19%+103500</f>
        <v>123165</v>
      </c>
      <c r="G27" s="116">
        <f t="shared" si="0"/>
        <v>123165</v>
      </c>
      <c r="H27" s="83" t="s">
        <v>835</v>
      </c>
      <c r="I27" s="83" t="s">
        <v>836</v>
      </c>
      <c r="J27" s="83" t="s">
        <v>71</v>
      </c>
      <c r="K27" s="40" t="s">
        <v>865</v>
      </c>
    </row>
    <row r="28" spans="1:11" ht="49.5" x14ac:dyDescent="0.25">
      <c r="A28" s="115">
        <v>25</v>
      </c>
      <c r="B28" s="114" t="s">
        <v>862</v>
      </c>
      <c r="C28" s="51" t="s">
        <v>695</v>
      </c>
      <c r="D28" s="100">
        <v>1</v>
      </c>
      <c r="E28" s="100" t="s">
        <v>12</v>
      </c>
      <c r="F28" s="117">
        <f>31050*19%+30000</f>
        <v>35899.5</v>
      </c>
      <c r="G28" s="116">
        <f t="shared" si="0"/>
        <v>35899.5</v>
      </c>
      <c r="H28" s="83" t="s">
        <v>835</v>
      </c>
      <c r="I28" s="83" t="s">
        <v>836</v>
      </c>
      <c r="J28" s="83" t="s">
        <v>71</v>
      </c>
      <c r="K28" s="40" t="s">
        <v>865</v>
      </c>
    </row>
    <row r="29" spans="1:11" ht="36" x14ac:dyDescent="0.25">
      <c r="A29" s="115">
        <v>26</v>
      </c>
      <c r="B29" s="114" t="s">
        <v>863</v>
      </c>
      <c r="C29" s="51" t="s">
        <v>695</v>
      </c>
      <c r="D29" s="100">
        <v>1</v>
      </c>
      <c r="E29" s="100" t="s">
        <v>12</v>
      </c>
      <c r="F29" s="117">
        <f>31050*19%+30000</f>
        <v>35899.5</v>
      </c>
      <c r="G29" s="116">
        <f t="shared" si="0"/>
        <v>35899.5</v>
      </c>
      <c r="H29" s="83" t="s">
        <v>835</v>
      </c>
      <c r="I29" s="83" t="s">
        <v>836</v>
      </c>
      <c r="J29" s="83" t="s">
        <v>71</v>
      </c>
      <c r="K29" s="40" t="s">
        <v>865</v>
      </c>
    </row>
    <row r="30" spans="1:11" ht="36" x14ac:dyDescent="0.25">
      <c r="A30" s="115">
        <v>27</v>
      </c>
      <c r="B30" s="114" t="s">
        <v>864</v>
      </c>
      <c r="C30" s="51" t="s">
        <v>695</v>
      </c>
      <c r="D30" s="100">
        <v>1</v>
      </c>
      <c r="E30" s="100" t="s">
        <v>12</v>
      </c>
      <c r="F30" s="117">
        <f>31050*19%+30000</f>
        <v>35899.5</v>
      </c>
      <c r="G30" s="116">
        <f t="shared" si="0"/>
        <v>35899.5</v>
      </c>
      <c r="H30" s="83" t="s">
        <v>835</v>
      </c>
      <c r="I30" s="83" t="s">
        <v>836</v>
      </c>
      <c r="J30" s="83" t="s">
        <v>71</v>
      </c>
      <c r="K30" s="40" t="s">
        <v>865</v>
      </c>
    </row>
    <row r="31" spans="1:11" x14ac:dyDescent="0.25">
      <c r="A31" s="11"/>
      <c r="B31" s="11"/>
      <c r="C31" s="11"/>
      <c r="D31" s="11"/>
      <c r="E31" s="11"/>
      <c r="F31" s="11"/>
      <c r="G31" s="11"/>
      <c r="H31" s="11"/>
      <c r="I31" s="11"/>
      <c r="J31" s="11"/>
      <c r="K31" s="11"/>
    </row>
  </sheetData>
  <mergeCells count="3">
    <mergeCell ref="A1:K1"/>
    <mergeCell ref="A2:B2"/>
    <mergeCell ref="H2: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7"/>
  <sheetViews>
    <sheetView workbookViewId="0">
      <selection sqref="A1:L1"/>
    </sheetView>
  </sheetViews>
  <sheetFormatPr baseColWidth="10" defaultRowHeight="15" x14ac:dyDescent="0.25"/>
  <cols>
    <col min="1" max="1" width="6.140625" customWidth="1"/>
    <col min="2" max="2" width="29.7109375" customWidth="1"/>
    <col min="3" max="3" width="15.140625" customWidth="1"/>
    <col min="4" max="4" width="6.85546875" customWidth="1"/>
    <col min="5" max="5" width="9" customWidth="1"/>
    <col min="6" max="6" width="9.85546875" customWidth="1"/>
    <col min="7" max="7" width="10.140625" customWidth="1"/>
    <col min="8" max="8" width="10" customWidth="1"/>
    <col min="12" max="12" width="22.28515625" customWidth="1"/>
  </cols>
  <sheetData>
    <row r="1" spans="1:12" ht="15.75" x14ac:dyDescent="0.25">
      <c r="A1" s="201" t="s">
        <v>1106</v>
      </c>
      <c r="B1" s="202"/>
      <c r="C1" s="202"/>
      <c r="D1" s="202"/>
      <c r="E1" s="202"/>
      <c r="F1" s="202"/>
      <c r="G1" s="202"/>
      <c r="H1" s="202"/>
      <c r="I1" s="202"/>
      <c r="J1" s="202"/>
      <c r="K1" s="202"/>
      <c r="L1" s="203"/>
    </row>
    <row r="2" spans="1:12" ht="15.75" x14ac:dyDescent="0.25">
      <c r="A2" s="204" t="s">
        <v>968</v>
      </c>
      <c r="B2" s="205"/>
      <c r="C2" s="205"/>
      <c r="D2" s="205"/>
      <c r="E2" s="92"/>
      <c r="F2" s="92"/>
      <c r="G2" s="92"/>
      <c r="H2" s="206" t="s">
        <v>969</v>
      </c>
      <c r="I2" s="206"/>
      <c r="J2" s="206"/>
      <c r="K2" s="206"/>
      <c r="L2" s="207"/>
    </row>
    <row r="3" spans="1:12" ht="33.75" x14ac:dyDescent="0.25">
      <c r="A3" s="50" t="s">
        <v>0</v>
      </c>
      <c r="B3" s="17" t="s">
        <v>962</v>
      </c>
      <c r="C3" s="17" t="s">
        <v>2</v>
      </c>
      <c r="D3" s="16" t="s">
        <v>965</v>
      </c>
      <c r="E3" s="16" t="s">
        <v>963</v>
      </c>
      <c r="F3" s="16" t="s">
        <v>963</v>
      </c>
      <c r="G3" s="16" t="s">
        <v>971</v>
      </c>
      <c r="H3" s="16" t="s">
        <v>972</v>
      </c>
      <c r="I3" s="16" t="s">
        <v>970</v>
      </c>
      <c r="J3" s="16" t="s">
        <v>926</v>
      </c>
      <c r="K3" s="16" t="s">
        <v>8</v>
      </c>
      <c r="L3" s="60" t="s">
        <v>10</v>
      </c>
    </row>
    <row r="4" spans="1:12" ht="24" x14ac:dyDescent="0.25">
      <c r="A4" s="100">
        <v>1</v>
      </c>
      <c r="B4" s="118" t="s">
        <v>457</v>
      </c>
      <c r="C4" s="40" t="s">
        <v>695</v>
      </c>
      <c r="D4" s="123">
        <v>1</v>
      </c>
      <c r="E4" s="123" t="s">
        <v>696</v>
      </c>
      <c r="F4" s="125">
        <f>15000*3.5%+15000</f>
        <v>15525</v>
      </c>
      <c r="G4" s="87">
        <f t="shared" ref="G4:G68" si="0">D4*F4</f>
        <v>15525</v>
      </c>
      <c r="H4" s="40" t="s">
        <v>715</v>
      </c>
      <c r="I4" s="40" t="s">
        <v>716</v>
      </c>
      <c r="J4" s="119" t="s">
        <v>973</v>
      </c>
      <c r="K4" s="40" t="s">
        <v>71</v>
      </c>
      <c r="L4" s="40" t="s">
        <v>717</v>
      </c>
    </row>
    <row r="5" spans="1:12" ht="24" x14ac:dyDescent="0.25">
      <c r="A5" s="121">
        <v>2</v>
      </c>
      <c r="B5" s="54" t="s">
        <v>722</v>
      </c>
      <c r="C5" s="40" t="s">
        <v>695</v>
      </c>
      <c r="D5" s="83">
        <v>1</v>
      </c>
      <c r="E5" s="124" t="s">
        <v>713</v>
      </c>
      <c r="F5" s="126">
        <f>170000*3.5%+170000</f>
        <v>175950</v>
      </c>
      <c r="G5" s="87">
        <f t="shared" si="0"/>
        <v>175950</v>
      </c>
      <c r="H5" s="40" t="s">
        <v>715</v>
      </c>
      <c r="I5" s="40" t="s">
        <v>70</v>
      </c>
      <c r="J5" s="119" t="s">
        <v>973</v>
      </c>
      <c r="K5" s="40" t="s">
        <v>71</v>
      </c>
      <c r="L5" s="40" t="s">
        <v>833</v>
      </c>
    </row>
    <row r="6" spans="1:12" ht="24" x14ac:dyDescent="0.25">
      <c r="A6" s="122">
        <v>3</v>
      </c>
      <c r="B6" s="54" t="s">
        <v>723</v>
      </c>
      <c r="C6" s="40" t="s">
        <v>695</v>
      </c>
      <c r="D6" s="83">
        <v>1</v>
      </c>
      <c r="E6" s="124" t="s">
        <v>830</v>
      </c>
      <c r="F6" s="126">
        <f>9000*3.5%+9000</f>
        <v>9315</v>
      </c>
      <c r="G6" s="87">
        <f t="shared" si="0"/>
        <v>9315</v>
      </c>
      <c r="H6" s="40" t="s">
        <v>715</v>
      </c>
      <c r="I6" s="40" t="s">
        <v>70</v>
      </c>
      <c r="J6" s="119" t="s">
        <v>973</v>
      </c>
      <c r="K6" s="40" t="s">
        <v>71</v>
      </c>
      <c r="L6" s="40" t="s">
        <v>833</v>
      </c>
    </row>
    <row r="7" spans="1:12" ht="24" x14ac:dyDescent="0.25">
      <c r="A7" s="122">
        <v>4</v>
      </c>
      <c r="B7" s="54" t="s">
        <v>724</v>
      </c>
      <c r="C7" s="40" t="s">
        <v>695</v>
      </c>
      <c r="D7" s="83">
        <v>1</v>
      </c>
      <c r="E7" s="124" t="s">
        <v>830</v>
      </c>
      <c r="F7" s="126">
        <f>9000*3.5%+9000</f>
        <v>9315</v>
      </c>
      <c r="G7" s="87">
        <f t="shared" si="0"/>
        <v>9315</v>
      </c>
      <c r="H7" s="40" t="s">
        <v>715</v>
      </c>
      <c r="I7" s="40" t="s">
        <v>70</v>
      </c>
      <c r="J7" s="119" t="s">
        <v>973</v>
      </c>
      <c r="K7" s="40" t="s">
        <v>71</v>
      </c>
      <c r="L7" s="40" t="s">
        <v>833</v>
      </c>
    </row>
    <row r="8" spans="1:12" ht="24" x14ac:dyDescent="0.25">
      <c r="A8" s="121">
        <v>5</v>
      </c>
      <c r="B8" s="54" t="s">
        <v>725</v>
      </c>
      <c r="C8" s="40" t="s">
        <v>695</v>
      </c>
      <c r="D8" s="83">
        <v>1</v>
      </c>
      <c r="E8" s="124" t="s">
        <v>714</v>
      </c>
      <c r="F8" s="126">
        <f>485000*3.5%+485000</f>
        <v>501975</v>
      </c>
      <c r="G8" s="87">
        <f t="shared" si="0"/>
        <v>501975</v>
      </c>
      <c r="H8" s="40" t="s">
        <v>715</v>
      </c>
      <c r="I8" s="40" t="s">
        <v>70</v>
      </c>
      <c r="J8" s="119" t="s">
        <v>973</v>
      </c>
      <c r="K8" s="40" t="s">
        <v>71</v>
      </c>
      <c r="L8" s="40" t="s">
        <v>833</v>
      </c>
    </row>
    <row r="9" spans="1:12" ht="24" x14ac:dyDescent="0.25">
      <c r="A9" s="122">
        <v>6</v>
      </c>
      <c r="B9" s="54" t="s">
        <v>726</v>
      </c>
      <c r="C9" s="40" t="s">
        <v>695</v>
      </c>
      <c r="D9" s="83">
        <v>1</v>
      </c>
      <c r="E9" s="124" t="s">
        <v>830</v>
      </c>
      <c r="F9" s="126">
        <f>20000*3.5%+20000</f>
        <v>20700</v>
      </c>
      <c r="G9" s="87">
        <f t="shared" si="0"/>
        <v>20700</v>
      </c>
      <c r="H9" s="40" t="s">
        <v>715</v>
      </c>
      <c r="I9" s="40" t="s">
        <v>70</v>
      </c>
      <c r="J9" s="119" t="s">
        <v>973</v>
      </c>
      <c r="K9" s="40" t="s">
        <v>71</v>
      </c>
      <c r="L9" s="40" t="s">
        <v>833</v>
      </c>
    </row>
    <row r="10" spans="1:12" ht="24" x14ac:dyDescent="0.25">
      <c r="A10" s="122">
        <v>7</v>
      </c>
      <c r="B10" s="54" t="s">
        <v>727</v>
      </c>
      <c r="C10" s="40" t="s">
        <v>695</v>
      </c>
      <c r="D10" s="83">
        <v>1</v>
      </c>
      <c r="E10" s="124" t="s">
        <v>12</v>
      </c>
      <c r="F10" s="126">
        <f>39000*3.5%+39000</f>
        <v>40365</v>
      </c>
      <c r="G10" s="87">
        <f t="shared" si="0"/>
        <v>40365</v>
      </c>
      <c r="H10" s="40" t="s">
        <v>715</v>
      </c>
      <c r="I10" s="40" t="s">
        <v>70</v>
      </c>
      <c r="J10" s="119" t="s">
        <v>973</v>
      </c>
      <c r="K10" s="40" t="s">
        <v>71</v>
      </c>
      <c r="L10" s="40" t="s">
        <v>833</v>
      </c>
    </row>
    <row r="11" spans="1:12" ht="24" x14ac:dyDescent="0.25">
      <c r="A11" s="121">
        <v>8</v>
      </c>
      <c r="B11" s="54" t="s">
        <v>728</v>
      </c>
      <c r="C11" s="40" t="s">
        <v>695</v>
      </c>
      <c r="D11" s="83">
        <v>1</v>
      </c>
      <c r="E11" s="124" t="s">
        <v>12</v>
      </c>
      <c r="F11" s="126">
        <f>49000*3.5%+49000</f>
        <v>50715</v>
      </c>
      <c r="G11" s="87">
        <f t="shared" si="0"/>
        <v>50715</v>
      </c>
      <c r="H11" s="40" t="s">
        <v>715</v>
      </c>
      <c r="I11" s="40" t="s">
        <v>70</v>
      </c>
      <c r="J11" s="119" t="s">
        <v>973</v>
      </c>
      <c r="K11" s="40" t="s">
        <v>71</v>
      </c>
      <c r="L11" s="40" t="s">
        <v>833</v>
      </c>
    </row>
    <row r="12" spans="1:12" ht="24" x14ac:dyDescent="0.25">
      <c r="A12" s="122">
        <v>9</v>
      </c>
      <c r="B12" s="70" t="s">
        <v>729</v>
      </c>
      <c r="C12" s="40" t="s">
        <v>695</v>
      </c>
      <c r="D12" s="83">
        <v>1</v>
      </c>
      <c r="E12" s="124" t="s">
        <v>12</v>
      </c>
      <c r="F12" s="126">
        <f>35000*3.5%+35000</f>
        <v>36225</v>
      </c>
      <c r="G12" s="87">
        <f t="shared" si="0"/>
        <v>36225</v>
      </c>
      <c r="H12" s="40" t="s">
        <v>715</v>
      </c>
      <c r="I12" s="40" t="s">
        <v>70</v>
      </c>
      <c r="J12" s="119" t="s">
        <v>973</v>
      </c>
      <c r="K12" s="40" t="s">
        <v>71</v>
      </c>
      <c r="L12" s="40" t="s">
        <v>833</v>
      </c>
    </row>
    <row r="13" spans="1:12" ht="24" x14ac:dyDescent="0.25">
      <c r="A13" s="122">
        <v>10</v>
      </c>
      <c r="B13" s="54" t="s">
        <v>730</v>
      </c>
      <c r="C13" s="40" t="s">
        <v>695</v>
      </c>
      <c r="D13" s="83">
        <v>1</v>
      </c>
      <c r="E13" s="124" t="s">
        <v>12</v>
      </c>
      <c r="F13" s="126">
        <f>45000*3.5%+45000</f>
        <v>46575</v>
      </c>
      <c r="G13" s="87">
        <f t="shared" si="0"/>
        <v>46575</v>
      </c>
      <c r="H13" s="40" t="s">
        <v>715</v>
      </c>
      <c r="I13" s="40" t="s">
        <v>70</v>
      </c>
      <c r="J13" s="119" t="s">
        <v>973</v>
      </c>
      <c r="K13" s="40" t="s">
        <v>71</v>
      </c>
      <c r="L13" s="40" t="s">
        <v>833</v>
      </c>
    </row>
    <row r="14" spans="1:12" ht="24" x14ac:dyDescent="0.25">
      <c r="A14" s="121">
        <v>11</v>
      </c>
      <c r="B14" s="54" t="s">
        <v>731</v>
      </c>
      <c r="C14" s="40" t="s">
        <v>695</v>
      </c>
      <c r="D14" s="83">
        <v>1</v>
      </c>
      <c r="E14" s="124" t="s">
        <v>12</v>
      </c>
      <c r="F14" s="126">
        <f>4000*3.5%+4000</f>
        <v>4140</v>
      </c>
      <c r="G14" s="87">
        <f t="shared" si="0"/>
        <v>4140</v>
      </c>
      <c r="H14" s="40" t="s">
        <v>715</v>
      </c>
      <c r="I14" s="40" t="s">
        <v>70</v>
      </c>
      <c r="J14" s="119" t="s">
        <v>973</v>
      </c>
      <c r="K14" s="40" t="s">
        <v>71</v>
      </c>
      <c r="L14" s="40" t="s">
        <v>833</v>
      </c>
    </row>
    <row r="15" spans="1:12" ht="24" x14ac:dyDescent="0.25">
      <c r="A15" s="122">
        <v>12</v>
      </c>
      <c r="B15" s="54" t="s">
        <v>732</v>
      </c>
      <c r="C15" s="40" t="s">
        <v>695</v>
      </c>
      <c r="D15" s="83">
        <v>1</v>
      </c>
      <c r="E15" s="124" t="s">
        <v>12</v>
      </c>
      <c r="F15" s="126">
        <f>7000*3.5%+7000</f>
        <v>7245</v>
      </c>
      <c r="G15" s="87">
        <f t="shared" si="0"/>
        <v>7245</v>
      </c>
      <c r="H15" s="40" t="s">
        <v>715</v>
      </c>
      <c r="I15" s="40" t="s">
        <v>70</v>
      </c>
      <c r="J15" s="119" t="s">
        <v>973</v>
      </c>
      <c r="K15" s="40" t="s">
        <v>71</v>
      </c>
      <c r="L15" s="40" t="s">
        <v>833</v>
      </c>
    </row>
    <row r="16" spans="1:12" ht="24" x14ac:dyDescent="0.25">
      <c r="A16" s="122">
        <v>13</v>
      </c>
      <c r="B16" s="54" t="s">
        <v>733</v>
      </c>
      <c r="C16" s="40" t="s">
        <v>695</v>
      </c>
      <c r="D16" s="83">
        <v>1</v>
      </c>
      <c r="E16" s="124" t="s">
        <v>12</v>
      </c>
      <c r="F16" s="126">
        <f>9000*3.5%+9000</f>
        <v>9315</v>
      </c>
      <c r="G16" s="87">
        <f t="shared" si="0"/>
        <v>9315</v>
      </c>
      <c r="H16" s="40" t="s">
        <v>715</v>
      </c>
      <c r="I16" s="40" t="s">
        <v>70</v>
      </c>
      <c r="J16" s="119" t="s">
        <v>973</v>
      </c>
      <c r="K16" s="40" t="s">
        <v>71</v>
      </c>
      <c r="L16" s="40" t="s">
        <v>833</v>
      </c>
    </row>
    <row r="17" spans="1:12" ht="24" x14ac:dyDescent="0.25">
      <c r="A17" s="121">
        <v>14</v>
      </c>
      <c r="B17" s="54" t="s">
        <v>734</v>
      </c>
      <c r="C17" s="40" t="s">
        <v>695</v>
      </c>
      <c r="D17" s="83">
        <v>1</v>
      </c>
      <c r="E17" s="124" t="s">
        <v>12</v>
      </c>
      <c r="F17" s="126">
        <f>18000*3.5%+18000</f>
        <v>18630</v>
      </c>
      <c r="G17" s="87">
        <f t="shared" si="0"/>
        <v>18630</v>
      </c>
      <c r="H17" s="40" t="s">
        <v>715</v>
      </c>
      <c r="I17" s="40" t="s">
        <v>70</v>
      </c>
      <c r="J17" s="119" t="s">
        <v>973</v>
      </c>
      <c r="K17" s="40" t="s">
        <v>71</v>
      </c>
      <c r="L17" s="40" t="s">
        <v>833</v>
      </c>
    </row>
    <row r="18" spans="1:12" ht="24" x14ac:dyDescent="0.25">
      <c r="A18" s="122">
        <v>15</v>
      </c>
      <c r="B18" s="54" t="s">
        <v>735</v>
      </c>
      <c r="C18" s="40" t="s">
        <v>695</v>
      </c>
      <c r="D18" s="83">
        <v>1</v>
      </c>
      <c r="E18" s="124" t="s">
        <v>12</v>
      </c>
      <c r="F18" s="126">
        <f>17000*3.5%+17000</f>
        <v>17595</v>
      </c>
      <c r="G18" s="87">
        <f t="shared" si="0"/>
        <v>17595</v>
      </c>
      <c r="H18" s="40" t="s">
        <v>715</v>
      </c>
      <c r="I18" s="40" t="s">
        <v>70</v>
      </c>
      <c r="J18" s="119" t="s">
        <v>973</v>
      </c>
      <c r="K18" s="40" t="s">
        <v>71</v>
      </c>
      <c r="L18" s="40" t="s">
        <v>833</v>
      </c>
    </row>
    <row r="19" spans="1:12" ht="24" x14ac:dyDescent="0.25">
      <c r="A19" s="122">
        <v>16</v>
      </c>
      <c r="B19" s="54" t="s">
        <v>736</v>
      </c>
      <c r="C19" s="40" t="s">
        <v>695</v>
      </c>
      <c r="D19" s="83">
        <v>1</v>
      </c>
      <c r="E19" s="124" t="s">
        <v>12</v>
      </c>
      <c r="F19" s="126">
        <f>30000*3.5%+30000</f>
        <v>31050</v>
      </c>
      <c r="G19" s="87">
        <f t="shared" si="0"/>
        <v>31050</v>
      </c>
      <c r="H19" s="40" t="s">
        <v>715</v>
      </c>
      <c r="I19" s="40" t="s">
        <v>70</v>
      </c>
      <c r="J19" s="119" t="s">
        <v>973</v>
      </c>
      <c r="K19" s="40" t="s">
        <v>71</v>
      </c>
      <c r="L19" s="40" t="s">
        <v>833</v>
      </c>
    </row>
    <row r="20" spans="1:12" ht="24" x14ac:dyDescent="0.25">
      <c r="A20" s="121">
        <v>17</v>
      </c>
      <c r="B20" s="54" t="s">
        <v>737</v>
      </c>
      <c r="C20" s="40" t="s">
        <v>695</v>
      </c>
      <c r="D20" s="83">
        <v>1</v>
      </c>
      <c r="E20" s="124" t="s">
        <v>12</v>
      </c>
      <c r="F20" s="127">
        <f>15000*3.5%+15000</f>
        <v>15525</v>
      </c>
      <c r="G20" s="87">
        <f t="shared" si="0"/>
        <v>15525</v>
      </c>
      <c r="H20" s="40" t="s">
        <v>715</v>
      </c>
      <c r="I20" s="40" t="s">
        <v>70</v>
      </c>
      <c r="J20" s="119" t="s">
        <v>973</v>
      </c>
      <c r="K20" s="40" t="s">
        <v>71</v>
      </c>
      <c r="L20" s="40" t="s">
        <v>833</v>
      </c>
    </row>
    <row r="21" spans="1:12" ht="24" x14ac:dyDescent="0.25">
      <c r="A21" s="122">
        <v>18</v>
      </c>
      <c r="B21" s="70" t="s">
        <v>738</v>
      </c>
      <c r="C21" s="40" t="s">
        <v>695</v>
      </c>
      <c r="D21" s="83">
        <v>1</v>
      </c>
      <c r="E21" s="124" t="s">
        <v>12</v>
      </c>
      <c r="F21" s="126">
        <f>1900*3.5%+1900</f>
        <v>1966.5</v>
      </c>
      <c r="G21" s="87">
        <f t="shared" si="0"/>
        <v>1966.5</v>
      </c>
      <c r="H21" s="40" t="s">
        <v>715</v>
      </c>
      <c r="I21" s="40" t="s">
        <v>70</v>
      </c>
      <c r="J21" s="119" t="s">
        <v>973</v>
      </c>
      <c r="K21" s="40" t="s">
        <v>71</v>
      </c>
      <c r="L21" s="40" t="s">
        <v>833</v>
      </c>
    </row>
    <row r="22" spans="1:12" ht="24" x14ac:dyDescent="0.25">
      <c r="A22" s="122">
        <v>19</v>
      </c>
      <c r="B22" s="54" t="s">
        <v>739</v>
      </c>
      <c r="C22" s="40" t="s">
        <v>695</v>
      </c>
      <c r="D22" s="83">
        <v>1</v>
      </c>
      <c r="E22" s="124" t="s">
        <v>12</v>
      </c>
      <c r="F22" s="126">
        <f>8000*3.5%+8000</f>
        <v>8280</v>
      </c>
      <c r="G22" s="87">
        <f t="shared" si="0"/>
        <v>8280</v>
      </c>
      <c r="H22" s="40" t="s">
        <v>715</v>
      </c>
      <c r="I22" s="40" t="s">
        <v>70</v>
      </c>
      <c r="J22" s="119" t="s">
        <v>973</v>
      </c>
      <c r="K22" s="40" t="s">
        <v>71</v>
      </c>
      <c r="L22" s="40" t="s">
        <v>833</v>
      </c>
    </row>
    <row r="23" spans="1:12" ht="24" x14ac:dyDescent="0.25">
      <c r="A23" s="121">
        <v>20</v>
      </c>
      <c r="B23" s="54" t="s">
        <v>740</v>
      </c>
      <c r="C23" s="40" t="s">
        <v>695</v>
      </c>
      <c r="D23" s="83">
        <v>1</v>
      </c>
      <c r="E23" s="124" t="s">
        <v>12</v>
      </c>
      <c r="F23" s="126">
        <f>8000*3.5%+8000</f>
        <v>8280</v>
      </c>
      <c r="G23" s="87">
        <f t="shared" si="0"/>
        <v>8280</v>
      </c>
      <c r="H23" s="40" t="s">
        <v>715</v>
      </c>
      <c r="I23" s="40" t="s">
        <v>70</v>
      </c>
      <c r="J23" s="119" t="s">
        <v>973</v>
      </c>
      <c r="K23" s="40" t="s">
        <v>71</v>
      </c>
      <c r="L23" s="40" t="s">
        <v>833</v>
      </c>
    </row>
    <row r="24" spans="1:12" ht="24" x14ac:dyDescent="0.25">
      <c r="A24" s="122">
        <v>21</v>
      </c>
      <c r="B24" s="54" t="s">
        <v>741</v>
      </c>
      <c r="C24" s="40" t="s">
        <v>695</v>
      </c>
      <c r="D24" s="83">
        <v>1</v>
      </c>
      <c r="E24" s="124" t="s">
        <v>12</v>
      </c>
      <c r="F24" s="127">
        <f>15000*3.5%+15000</f>
        <v>15525</v>
      </c>
      <c r="G24" s="87">
        <f t="shared" si="0"/>
        <v>15525</v>
      </c>
      <c r="H24" s="40" t="s">
        <v>715</v>
      </c>
      <c r="I24" s="40" t="s">
        <v>70</v>
      </c>
      <c r="J24" s="119" t="s">
        <v>973</v>
      </c>
      <c r="K24" s="40" t="s">
        <v>71</v>
      </c>
      <c r="L24" s="40" t="s">
        <v>833</v>
      </c>
    </row>
    <row r="25" spans="1:12" ht="24" x14ac:dyDescent="0.25">
      <c r="A25" s="122">
        <v>22</v>
      </c>
      <c r="B25" s="54" t="s">
        <v>742</v>
      </c>
      <c r="C25" s="40" t="s">
        <v>695</v>
      </c>
      <c r="D25" s="83">
        <v>1</v>
      </c>
      <c r="E25" s="124" t="s">
        <v>12</v>
      </c>
      <c r="F25" s="126">
        <f>58000*3.5%+58000</f>
        <v>60030</v>
      </c>
      <c r="G25" s="87">
        <f t="shared" si="0"/>
        <v>60030</v>
      </c>
      <c r="H25" s="40" t="s">
        <v>715</v>
      </c>
      <c r="I25" s="40" t="s">
        <v>70</v>
      </c>
      <c r="J25" s="119" t="s">
        <v>973</v>
      </c>
      <c r="K25" s="40" t="s">
        <v>71</v>
      </c>
      <c r="L25" s="40" t="s">
        <v>833</v>
      </c>
    </row>
    <row r="26" spans="1:12" ht="24" x14ac:dyDescent="0.25">
      <c r="A26" s="121">
        <v>23</v>
      </c>
      <c r="B26" s="54" t="s">
        <v>743</v>
      </c>
      <c r="C26" s="40" t="s">
        <v>695</v>
      </c>
      <c r="D26" s="83">
        <v>1</v>
      </c>
      <c r="E26" s="124" t="s">
        <v>12</v>
      </c>
      <c r="F26" s="126">
        <f t="shared" ref="F26:F28" si="1">58000*3.5%+58000</f>
        <v>60030</v>
      </c>
      <c r="G26" s="87">
        <f t="shared" si="0"/>
        <v>60030</v>
      </c>
      <c r="H26" s="40" t="s">
        <v>715</v>
      </c>
      <c r="I26" s="40" t="s">
        <v>70</v>
      </c>
      <c r="J26" s="119" t="s">
        <v>973</v>
      </c>
      <c r="K26" s="40" t="s">
        <v>71</v>
      </c>
      <c r="L26" s="40" t="s">
        <v>833</v>
      </c>
    </row>
    <row r="27" spans="1:12" ht="24" x14ac:dyDescent="0.25">
      <c r="A27" s="122">
        <v>24</v>
      </c>
      <c r="B27" s="54" t="s">
        <v>744</v>
      </c>
      <c r="C27" s="40" t="s">
        <v>695</v>
      </c>
      <c r="D27" s="83">
        <v>1</v>
      </c>
      <c r="E27" s="124" t="s">
        <v>12</v>
      </c>
      <c r="F27" s="126">
        <f t="shared" si="1"/>
        <v>60030</v>
      </c>
      <c r="G27" s="87">
        <f t="shared" si="0"/>
        <v>60030</v>
      </c>
      <c r="H27" s="40" t="s">
        <v>715</v>
      </c>
      <c r="I27" s="40" t="s">
        <v>70</v>
      </c>
      <c r="J27" s="119" t="s">
        <v>973</v>
      </c>
      <c r="K27" s="40" t="s">
        <v>71</v>
      </c>
      <c r="L27" s="40" t="s">
        <v>833</v>
      </c>
    </row>
    <row r="28" spans="1:12" ht="24" x14ac:dyDescent="0.25">
      <c r="A28" s="122">
        <v>25</v>
      </c>
      <c r="B28" s="54" t="s">
        <v>745</v>
      </c>
      <c r="C28" s="40" t="s">
        <v>695</v>
      </c>
      <c r="D28" s="83">
        <v>1</v>
      </c>
      <c r="E28" s="124" t="s">
        <v>12</v>
      </c>
      <c r="F28" s="126">
        <f t="shared" si="1"/>
        <v>60030</v>
      </c>
      <c r="G28" s="87">
        <f t="shared" si="0"/>
        <v>60030</v>
      </c>
      <c r="H28" s="40" t="s">
        <v>715</v>
      </c>
      <c r="I28" s="40" t="s">
        <v>70</v>
      </c>
      <c r="J28" s="119" t="s">
        <v>973</v>
      </c>
      <c r="K28" s="40" t="s">
        <v>71</v>
      </c>
      <c r="L28" s="40" t="s">
        <v>833</v>
      </c>
    </row>
    <row r="29" spans="1:12" ht="24" x14ac:dyDescent="0.25">
      <c r="A29" s="121">
        <v>26</v>
      </c>
      <c r="B29" s="54" t="s">
        <v>746</v>
      </c>
      <c r="C29" s="40" t="s">
        <v>695</v>
      </c>
      <c r="D29" s="83">
        <v>1</v>
      </c>
      <c r="E29" s="124" t="s">
        <v>12</v>
      </c>
      <c r="F29" s="126">
        <f>68000*3.5%+68000</f>
        <v>70380</v>
      </c>
      <c r="G29" s="87">
        <f t="shared" si="0"/>
        <v>70380</v>
      </c>
      <c r="H29" s="40" t="s">
        <v>715</v>
      </c>
      <c r="I29" s="40" t="s">
        <v>70</v>
      </c>
      <c r="J29" s="119" t="s">
        <v>973</v>
      </c>
      <c r="K29" s="40" t="s">
        <v>71</v>
      </c>
      <c r="L29" s="40" t="s">
        <v>833</v>
      </c>
    </row>
    <row r="30" spans="1:12" ht="24" x14ac:dyDescent="0.25">
      <c r="A30" s="122">
        <v>27</v>
      </c>
      <c r="B30" s="54" t="s">
        <v>747</v>
      </c>
      <c r="C30" s="40" t="s">
        <v>695</v>
      </c>
      <c r="D30" s="83">
        <v>1</v>
      </c>
      <c r="E30" s="124" t="s">
        <v>12</v>
      </c>
      <c r="F30" s="126">
        <f t="shared" ref="F30:F31" si="2">68000*3.5%+68000</f>
        <v>70380</v>
      </c>
      <c r="G30" s="87">
        <f t="shared" si="0"/>
        <v>70380</v>
      </c>
      <c r="H30" s="40" t="s">
        <v>715</v>
      </c>
      <c r="I30" s="40" t="s">
        <v>70</v>
      </c>
      <c r="J30" s="119" t="s">
        <v>973</v>
      </c>
      <c r="K30" s="40" t="s">
        <v>71</v>
      </c>
      <c r="L30" s="40" t="s">
        <v>833</v>
      </c>
    </row>
    <row r="31" spans="1:12" ht="24" x14ac:dyDescent="0.25">
      <c r="A31" s="122">
        <v>28</v>
      </c>
      <c r="B31" s="54" t="s">
        <v>748</v>
      </c>
      <c r="C31" s="40" t="s">
        <v>695</v>
      </c>
      <c r="D31" s="83">
        <v>1</v>
      </c>
      <c r="E31" s="124" t="s">
        <v>12</v>
      </c>
      <c r="F31" s="126">
        <f t="shared" si="2"/>
        <v>70380</v>
      </c>
      <c r="G31" s="87">
        <f t="shared" si="0"/>
        <v>70380</v>
      </c>
      <c r="H31" s="40" t="s">
        <v>715</v>
      </c>
      <c r="I31" s="40" t="s">
        <v>70</v>
      </c>
      <c r="J31" s="119" t="s">
        <v>973</v>
      </c>
      <c r="K31" s="40" t="s">
        <v>71</v>
      </c>
      <c r="L31" s="40" t="s">
        <v>833</v>
      </c>
    </row>
    <row r="32" spans="1:12" ht="24" x14ac:dyDescent="0.25">
      <c r="A32" s="121">
        <v>29</v>
      </c>
      <c r="B32" s="54" t="s">
        <v>749</v>
      </c>
      <c r="C32" s="40" t="s">
        <v>695</v>
      </c>
      <c r="D32" s="83">
        <v>1</v>
      </c>
      <c r="E32" s="124" t="s">
        <v>12</v>
      </c>
      <c r="F32" s="126">
        <f>72000*3.5%+72000</f>
        <v>74520</v>
      </c>
      <c r="G32" s="87">
        <f t="shared" si="0"/>
        <v>74520</v>
      </c>
      <c r="H32" s="40" t="s">
        <v>715</v>
      </c>
      <c r="I32" s="40" t="s">
        <v>70</v>
      </c>
      <c r="J32" s="119" t="s">
        <v>973</v>
      </c>
      <c r="K32" s="40" t="s">
        <v>71</v>
      </c>
      <c r="L32" s="40" t="s">
        <v>833</v>
      </c>
    </row>
    <row r="33" spans="1:12" ht="24" x14ac:dyDescent="0.25">
      <c r="A33" s="122">
        <v>30</v>
      </c>
      <c r="B33" s="54" t="s">
        <v>750</v>
      </c>
      <c r="C33" s="40" t="s">
        <v>695</v>
      </c>
      <c r="D33" s="83">
        <v>1</v>
      </c>
      <c r="E33" s="124" t="s">
        <v>12</v>
      </c>
      <c r="F33" s="126">
        <f>72000*3.5%+72000</f>
        <v>74520</v>
      </c>
      <c r="G33" s="87">
        <f t="shared" si="0"/>
        <v>74520</v>
      </c>
      <c r="H33" s="40" t="s">
        <v>715</v>
      </c>
      <c r="I33" s="40" t="s">
        <v>70</v>
      </c>
      <c r="J33" s="119" t="s">
        <v>973</v>
      </c>
      <c r="K33" s="40" t="s">
        <v>71</v>
      </c>
      <c r="L33" s="40" t="s">
        <v>833</v>
      </c>
    </row>
    <row r="34" spans="1:12" ht="24" x14ac:dyDescent="0.25">
      <c r="A34" s="122">
        <v>31</v>
      </c>
      <c r="B34" s="54" t="s">
        <v>751</v>
      </c>
      <c r="C34" s="40" t="s">
        <v>695</v>
      </c>
      <c r="D34" s="83">
        <v>1</v>
      </c>
      <c r="E34" s="124" t="s">
        <v>12</v>
      </c>
      <c r="F34" s="126">
        <f>80000*3.5%+80000</f>
        <v>82800</v>
      </c>
      <c r="G34" s="87">
        <f t="shared" si="0"/>
        <v>82800</v>
      </c>
      <c r="H34" s="40" t="s">
        <v>715</v>
      </c>
      <c r="I34" s="40" t="s">
        <v>70</v>
      </c>
      <c r="J34" s="119" t="s">
        <v>973</v>
      </c>
      <c r="K34" s="40" t="s">
        <v>71</v>
      </c>
      <c r="L34" s="40" t="s">
        <v>833</v>
      </c>
    </row>
    <row r="35" spans="1:12" ht="24" x14ac:dyDescent="0.25">
      <c r="A35" s="121">
        <v>32</v>
      </c>
      <c r="B35" s="54" t="s">
        <v>752</v>
      </c>
      <c r="C35" s="40" t="s">
        <v>695</v>
      </c>
      <c r="D35" s="83">
        <v>1</v>
      </c>
      <c r="E35" s="124" t="s">
        <v>12</v>
      </c>
      <c r="F35" s="126">
        <f>216000*3.5%+216000</f>
        <v>223560</v>
      </c>
      <c r="G35" s="87">
        <f t="shared" si="0"/>
        <v>223560</v>
      </c>
      <c r="H35" s="40" t="s">
        <v>715</v>
      </c>
      <c r="I35" s="40" t="s">
        <v>70</v>
      </c>
      <c r="J35" s="119" t="s">
        <v>973</v>
      </c>
      <c r="K35" s="40" t="s">
        <v>71</v>
      </c>
      <c r="L35" s="40" t="s">
        <v>833</v>
      </c>
    </row>
    <row r="36" spans="1:12" ht="24" x14ac:dyDescent="0.25">
      <c r="A36" s="122">
        <v>33</v>
      </c>
      <c r="B36" s="54" t="s">
        <v>753</v>
      </c>
      <c r="C36" s="40" t="s">
        <v>695</v>
      </c>
      <c r="D36" s="83">
        <v>1</v>
      </c>
      <c r="E36" s="124" t="s">
        <v>12</v>
      </c>
      <c r="F36" s="126">
        <f>250000*3.5%+250000</f>
        <v>258750</v>
      </c>
      <c r="G36" s="87">
        <f t="shared" si="0"/>
        <v>258750</v>
      </c>
      <c r="H36" s="40" t="s">
        <v>715</v>
      </c>
      <c r="I36" s="40" t="s">
        <v>70</v>
      </c>
      <c r="J36" s="119" t="s">
        <v>973</v>
      </c>
      <c r="K36" s="40" t="s">
        <v>71</v>
      </c>
      <c r="L36" s="40" t="s">
        <v>833</v>
      </c>
    </row>
    <row r="37" spans="1:12" ht="24" x14ac:dyDescent="0.25">
      <c r="A37" s="122">
        <v>34</v>
      </c>
      <c r="B37" s="54" t="s">
        <v>754</v>
      </c>
      <c r="C37" s="40" t="s">
        <v>695</v>
      </c>
      <c r="D37" s="83">
        <v>1</v>
      </c>
      <c r="E37" s="124" t="s">
        <v>12</v>
      </c>
      <c r="F37" s="126">
        <f>295000*3.5%+295000</f>
        <v>305325</v>
      </c>
      <c r="G37" s="87">
        <f t="shared" si="0"/>
        <v>305325</v>
      </c>
      <c r="H37" s="40" t="s">
        <v>715</v>
      </c>
      <c r="I37" s="40" t="s">
        <v>70</v>
      </c>
      <c r="J37" s="119" t="s">
        <v>973</v>
      </c>
      <c r="K37" s="40" t="s">
        <v>71</v>
      </c>
      <c r="L37" s="40" t="s">
        <v>833</v>
      </c>
    </row>
    <row r="38" spans="1:12" ht="24" x14ac:dyDescent="0.25">
      <c r="A38" s="121">
        <v>35</v>
      </c>
      <c r="B38" s="54" t="s">
        <v>740</v>
      </c>
      <c r="C38" s="40" t="s">
        <v>695</v>
      </c>
      <c r="D38" s="83">
        <v>1</v>
      </c>
      <c r="E38" s="124" t="s">
        <v>12</v>
      </c>
      <c r="F38" s="126">
        <f>8000*3.5%+8000</f>
        <v>8280</v>
      </c>
      <c r="G38" s="87">
        <f t="shared" si="0"/>
        <v>8280</v>
      </c>
      <c r="H38" s="40" t="s">
        <v>715</v>
      </c>
      <c r="I38" s="40" t="s">
        <v>70</v>
      </c>
      <c r="J38" s="119" t="s">
        <v>973</v>
      </c>
      <c r="K38" s="40" t="s">
        <v>71</v>
      </c>
      <c r="L38" s="40" t="s">
        <v>833</v>
      </c>
    </row>
    <row r="39" spans="1:12" ht="24" x14ac:dyDescent="0.25">
      <c r="A39" s="122">
        <v>36</v>
      </c>
      <c r="B39" s="54" t="s">
        <v>753</v>
      </c>
      <c r="C39" s="40" t="s">
        <v>695</v>
      </c>
      <c r="D39" s="83">
        <v>1</v>
      </c>
      <c r="E39" s="124" t="s">
        <v>12</v>
      </c>
      <c r="F39" s="126">
        <f>250000*3.5%+250000</f>
        <v>258750</v>
      </c>
      <c r="G39" s="87">
        <f t="shared" si="0"/>
        <v>258750</v>
      </c>
      <c r="H39" s="40" t="s">
        <v>715</v>
      </c>
      <c r="I39" s="40" t="s">
        <v>70</v>
      </c>
      <c r="J39" s="119" t="s">
        <v>973</v>
      </c>
      <c r="K39" s="40" t="s">
        <v>71</v>
      </c>
      <c r="L39" s="40" t="s">
        <v>833</v>
      </c>
    </row>
    <row r="40" spans="1:12" ht="24" x14ac:dyDescent="0.25">
      <c r="A40" s="122">
        <v>37</v>
      </c>
      <c r="B40" s="54" t="s">
        <v>754</v>
      </c>
      <c r="C40" s="40" t="s">
        <v>695</v>
      </c>
      <c r="D40" s="83">
        <v>1</v>
      </c>
      <c r="E40" s="124" t="s">
        <v>12</v>
      </c>
      <c r="F40" s="126">
        <f>295000*3.5%+295000</f>
        <v>305325</v>
      </c>
      <c r="G40" s="87">
        <f t="shared" si="0"/>
        <v>305325</v>
      </c>
      <c r="H40" s="40" t="s">
        <v>715</v>
      </c>
      <c r="I40" s="40" t="s">
        <v>70</v>
      </c>
      <c r="J40" s="119" t="s">
        <v>973</v>
      </c>
      <c r="K40" s="40" t="s">
        <v>71</v>
      </c>
      <c r="L40" s="40" t="s">
        <v>833</v>
      </c>
    </row>
    <row r="41" spans="1:12" ht="24" x14ac:dyDescent="0.25">
      <c r="A41" s="121">
        <v>38</v>
      </c>
      <c r="B41" s="54" t="s">
        <v>755</v>
      </c>
      <c r="C41" s="40" t="s">
        <v>695</v>
      </c>
      <c r="D41" s="83">
        <v>1</v>
      </c>
      <c r="E41" s="124" t="s">
        <v>27</v>
      </c>
      <c r="F41" s="126">
        <f>52000*3.5%+52000</f>
        <v>53820</v>
      </c>
      <c r="G41" s="87">
        <f t="shared" si="0"/>
        <v>53820</v>
      </c>
      <c r="H41" s="40" t="s">
        <v>715</v>
      </c>
      <c r="I41" s="40" t="s">
        <v>70</v>
      </c>
      <c r="J41" s="119" t="s">
        <v>973</v>
      </c>
      <c r="K41" s="40" t="s">
        <v>71</v>
      </c>
      <c r="L41" s="40" t="s">
        <v>833</v>
      </c>
    </row>
    <row r="42" spans="1:12" ht="24" x14ac:dyDescent="0.25">
      <c r="A42" s="122">
        <v>39</v>
      </c>
      <c r="B42" s="120" t="s">
        <v>756</v>
      </c>
      <c r="C42" s="40" t="s">
        <v>695</v>
      </c>
      <c r="D42" s="83">
        <v>1</v>
      </c>
      <c r="E42" s="124" t="s">
        <v>27</v>
      </c>
      <c r="F42" s="128">
        <f>700*3.5%+700</f>
        <v>724.5</v>
      </c>
      <c r="G42" s="87">
        <f t="shared" si="0"/>
        <v>724.5</v>
      </c>
      <c r="H42" s="40" t="s">
        <v>715</v>
      </c>
      <c r="I42" s="40" t="s">
        <v>70</v>
      </c>
      <c r="J42" s="119" t="s">
        <v>973</v>
      </c>
      <c r="K42" s="40" t="s">
        <v>71</v>
      </c>
      <c r="L42" s="40" t="s">
        <v>833</v>
      </c>
    </row>
    <row r="43" spans="1:12" ht="24" x14ac:dyDescent="0.25">
      <c r="A43" s="122">
        <v>40</v>
      </c>
      <c r="B43" s="54" t="s">
        <v>757</v>
      </c>
      <c r="C43" s="40" t="s">
        <v>695</v>
      </c>
      <c r="D43" s="83">
        <v>1</v>
      </c>
      <c r="E43" s="124" t="s">
        <v>27</v>
      </c>
      <c r="F43" s="126">
        <f>7000*3.5%+7000</f>
        <v>7245</v>
      </c>
      <c r="G43" s="87">
        <f t="shared" si="0"/>
        <v>7245</v>
      </c>
      <c r="H43" s="40" t="s">
        <v>715</v>
      </c>
      <c r="I43" s="40" t="s">
        <v>70</v>
      </c>
      <c r="J43" s="119" t="s">
        <v>973</v>
      </c>
      <c r="K43" s="40" t="s">
        <v>71</v>
      </c>
      <c r="L43" s="40" t="s">
        <v>833</v>
      </c>
    </row>
    <row r="44" spans="1:12" ht="24" x14ac:dyDescent="0.25">
      <c r="A44" s="121">
        <v>41</v>
      </c>
      <c r="B44" s="54" t="s">
        <v>758</v>
      </c>
      <c r="C44" s="40" t="s">
        <v>695</v>
      </c>
      <c r="D44" s="83">
        <v>1</v>
      </c>
      <c r="E44" s="124" t="s">
        <v>27</v>
      </c>
      <c r="F44" s="126">
        <f>3500*3.5%+3500</f>
        <v>3622.5</v>
      </c>
      <c r="G44" s="87">
        <f t="shared" si="0"/>
        <v>3622.5</v>
      </c>
      <c r="H44" s="40" t="s">
        <v>715</v>
      </c>
      <c r="I44" s="40" t="s">
        <v>70</v>
      </c>
      <c r="J44" s="119" t="s">
        <v>973</v>
      </c>
      <c r="K44" s="40" t="s">
        <v>71</v>
      </c>
      <c r="L44" s="40" t="s">
        <v>833</v>
      </c>
    </row>
    <row r="45" spans="1:12" ht="24" x14ac:dyDescent="0.25">
      <c r="A45" s="122">
        <v>42</v>
      </c>
      <c r="B45" s="54" t="s">
        <v>759</v>
      </c>
      <c r="C45" s="40" t="s">
        <v>695</v>
      </c>
      <c r="D45" s="83">
        <v>1</v>
      </c>
      <c r="E45" s="124" t="s">
        <v>27</v>
      </c>
      <c r="F45" s="126">
        <f>2500*3.5%+2500</f>
        <v>2587.5</v>
      </c>
      <c r="G45" s="87">
        <f t="shared" si="0"/>
        <v>2587.5</v>
      </c>
      <c r="H45" s="40" t="s">
        <v>715</v>
      </c>
      <c r="I45" s="40" t="s">
        <v>70</v>
      </c>
      <c r="J45" s="119" t="s">
        <v>973</v>
      </c>
      <c r="K45" s="40" t="s">
        <v>71</v>
      </c>
      <c r="L45" s="40" t="s">
        <v>833</v>
      </c>
    </row>
    <row r="46" spans="1:12" ht="24" x14ac:dyDescent="0.25">
      <c r="A46" s="122">
        <v>43</v>
      </c>
      <c r="B46" s="54" t="s">
        <v>760</v>
      </c>
      <c r="C46" s="40" t="s">
        <v>695</v>
      </c>
      <c r="D46" s="83">
        <v>1</v>
      </c>
      <c r="E46" s="124" t="s">
        <v>27</v>
      </c>
      <c r="F46" s="126">
        <f>1800*3.5%+1800</f>
        <v>1863</v>
      </c>
      <c r="G46" s="87">
        <f t="shared" si="0"/>
        <v>1863</v>
      </c>
      <c r="H46" s="40" t="s">
        <v>715</v>
      </c>
      <c r="I46" s="40" t="s">
        <v>70</v>
      </c>
      <c r="J46" s="119" t="s">
        <v>973</v>
      </c>
      <c r="K46" s="40" t="s">
        <v>71</v>
      </c>
      <c r="L46" s="40" t="s">
        <v>833</v>
      </c>
    </row>
    <row r="47" spans="1:12" ht="24" x14ac:dyDescent="0.25">
      <c r="A47" s="121">
        <v>44</v>
      </c>
      <c r="B47" s="54" t="s">
        <v>761</v>
      </c>
      <c r="C47" s="40" t="s">
        <v>695</v>
      </c>
      <c r="D47" s="83">
        <v>1</v>
      </c>
      <c r="E47" s="124" t="s">
        <v>27</v>
      </c>
      <c r="F47" s="126">
        <f>1000*3.5%+1000</f>
        <v>1035</v>
      </c>
      <c r="G47" s="87">
        <f t="shared" si="0"/>
        <v>1035</v>
      </c>
      <c r="H47" s="40" t="s">
        <v>715</v>
      </c>
      <c r="I47" s="40" t="s">
        <v>70</v>
      </c>
      <c r="J47" s="119" t="s">
        <v>973</v>
      </c>
      <c r="K47" s="40" t="s">
        <v>71</v>
      </c>
      <c r="L47" s="40" t="s">
        <v>833</v>
      </c>
    </row>
    <row r="48" spans="1:12" ht="24" x14ac:dyDescent="0.25">
      <c r="A48" s="122">
        <v>45</v>
      </c>
      <c r="B48" s="54" t="s">
        <v>762</v>
      </c>
      <c r="C48" s="40" t="s">
        <v>695</v>
      </c>
      <c r="D48" s="83">
        <v>1</v>
      </c>
      <c r="E48" s="124" t="s">
        <v>27</v>
      </c>
      <c r="F48" s="126">
        <f>3500*3.5%+3500</f>
        <v>3622.5</v>
      </c>
      <c r="G48" s="87">
        <f t="shared" si="0"/>
        <v>3622.5</v>
      </c>
      <c r="H48" s="40" t="s">
        <v>715</v>
      </c>
      <c r="I48" s="40" t="s">
        <v>70</v>
      </c>
      <c r="J48" s="119" t="s">
        <v>973</v>
      </c>
      <c r="K48" s="40" t="s">
        <v>71</v>
      </c>
      <c r="L48" s="40" t="s">
        <v>833</v>
      </c>
    </row>
    <row r="49" spans="1:12" ht="24" x14ac:dyDescent="0.25">
      <c r="A49" s="122">
        <v>46</v>
      </c>
      <c r="B49" s="54" t="s">
        <v>763</v>
      </c>
      <c r="C49" s="40" t="s">
        <v>695</v>
      </c>
      <c r="D49" s="83">
        <v>1</v>
      </c>
      <c r="E49" s="124" t="s">
        <v>27</v>
      </c>
      <c r="F49" s="126">
        <f>3000*3.5%+3000</f>
        <v>3105</v>
      </c>
      <c r="G49" s="87">
        <f t="shared" si="0"/>
        <v>3105</v>
      </c>
      <c r="H49" s="40" t="s">
        <v>715</v>
      </c>
      <c r="I49" s="40" t="s">
        <v>70</v>
      </c>
      <c r="J49" s="119" t="s">
        <v>973</v>
      </c>
      <c r="K49" s="40" t="s">
        <v>71</v>
      </c>
      <c r="L49" s="40" t="s">
        <v>833</v>
      </c>
    </row>
    <row r="50" spans="1:12" ht="24" x14ac:dyDescent="0.25">
      <c r="A50" s="121">
        <v>47</v>
      </c>
      <c r="B50" s="54" t="s">
        <v>764</v>
      </c>
      <c r="C50" s="40" t="s">
        <v>695</v>
      </c>
      <c r="D50" s="83">
        <v>1</v>
      </c>
      <c r="E50" s="124" t="s">
        <v>27</v>
      </c>
      <c r="F50" s="126">
        <f>1800*3.5%+1800</f>
        <v>1863</v>
      </c>
      <c r="G50" s="87">
        <f t="shared" si="0"/>
        <v>1863</v>
      </c>
      <c r="H50" s="40" t="s">
        <v>715</v>
      </c>
      <c r="I50" s="40" t="s">
        <v>70</v>
      </c>
      <c r="J50" s="119" t="s">
        <v>973</v>
      </c>
      <c r="K50" s="40" t="s">
        <v>71</v>
      </c>
      <c r="L50" s="40" t="s">
        <v>833</v>
      </c>
    </row>
    <row r="51" spans="1:12" ht="24" x14ac:dyDescent="0.25">
      <c r="A51" s="122">
        <v>48</v>
      </c>
      <c r="B51" s="54" t="s">
        <v>765</v>
      </c>
      <c r="C51" s="40" t="s">
        <v>695</v>
      </c>
      <c r="D51" s="83">
        <v>1</v>
      </c>
      <c r="E51" s="124" t="s">
        <v>27</v>
      </c>
      <c r="F51" s="126">
        <v>1400</v>
      </c>
      <c r="G51" s="87">
        <f t="shared" si="0"/>
        <v>1400</v>
      </c>
      <c r="H51" s="40" t="s">
        <v>715</v>
      </c>
      <c r="I51" s="40" t="s">
        <v>70</v>
      </c>
      <c r="J51" s="119" t="s">
        <v>973</v>
      </c>
      <c r="K51" s="40" t="s">
        <v>71</v>
      </c>
      <c r="L51" s="40" t="s">
        <v>833</v>
      </c>
    </row>
    <row r="52" spans="1:12" ht="24" x14ac:dyDescent="0.25">
      <c r="A52" s="122">
        <v>49</v>
      </c>
      <c r="B52" s="54" t="s">
        <v>766</v>
      </c>
      <c r="C52" s="40" t="s">
        <v>695</v>
      </c>
      <c r="D52" s="83">
        <v>1</v>
      </c>
      <c r="E52" s="124" t="s">
        <v>12</v>
      </c>
      <c r="F52" s="126">
        <f>1000*3.5%+1000</f>
        <v>1035</v>
      </c>
      <c r="G52" s="87">
        <f t="shared" si="0"/>
        <v>1035</v>
      </c>
      <c r="H52" s="40" t="s">
        <v>715</v>
      </c>
      <c r="I52" s="40" t="s">
        <v>70</v>
      </c>
      <c r="J52" s="119" t="s">
        <v>973</v>
      </c>
      <c r="K52" s="40" t="s">
        <v>71</v>
      </c>
      <c r="L52" s="40" t="s">
        <v>833</v>
      </c>
    </row>
    <row r="53" spans="1:12" ht="24" x14ac:dyDescent="0.25">
      <c r="A53" s="121">
        <v>50</v>
      </c>
      <c r="B53" s="54" t="s">
        <v>767</v>
      </c>
      <c r="C53" s="40" t="s">
        <v>695</v>
      </c>
      <c r="D53" s="83">
        <v>1</v>
      </c>
      <c r="E53" s="124" t="s">
        <v>831</v>
      </c>
      <c r="F53" s="126">
        <v>8000</v>
      </c>
      <c r="G53" s="87">
        <f t="shared" si="0"/>
        <v>8000</v>
      </c>
      <c r="H53" s="40" t="s">
        <v>715</v>
      </c>
      <c r="I53" s="40" t="s">
        <v>70</v>
      </c>
      <c r="J53" s="119" t="s">
        <v>973</v>
      </c>
      <c r="K53" s="40" t="s">
        <v>71</v>
      </c>
      <c r="L53" s="40" t="s">
        <v>833</v>
      </c>
    </row>
    <row r="54" spans="1:12" ht="24" x14ac:dyDescent="0.25">
      <c r="A54" s="122">
        <v>51</v>
      </c>
      <c r="B54" s="54" t="s">
        <v>768</v>
      </c>
      <c r="C54" s="40" t="s">
        <v>695</v>
      </c>
      <c r="D54" s="83">
        <v>1</v>
      </c>
      <c r="E54" s="124" t="s">
        <v>12</v>
      </c>
      <c r="F54" s="126">
        <f>45000*3.5%+45000</f>
        <v>46575</v>
      </c>
      <c r="G54" s="87">
        <f t="shared" si="0"/>
        <v>46575</v>
      </c>
      <c r="H54" s="40" t="s">
        <v>715</v>
      </c>
      <c r="I54" s="40" t="s">
        <v>70</v>
      </c>
      <c r="J54" s="119" t="s">
        <v>973</v>
      </c>
      <c r="K54" s="40" t="s">
        <v>71</v>
      </c>
      <c r="L54" s="40" t="s">
        <v>833</v>
      </c>
    </row>
    <row r="55" spans="1:12" ht="24" x14ac:dyDescent="0.25">
      <c r="A55" s="122">
        <v>52</v>
      </c>
      <c r="B55" s="54" t="s">
        <v>769</v>
      </c>
      <c r="C55" s="40" t="s">
        <v>695</v>
      </c>
      <c r="D55" s="83">
        <v>1</v>
      </c>
      <c r="E55" s="124" t="s">
        <v>832</v>
      </c>
      <c r="F55" s="126">
        <v>10000</v>
      </c>
      <c r="G55" s="87">
        <f t="shared" si="0"/>
        <v>10000</v>
      </c>
      <c r="H55" s="40" t="s">
        <v>715</v>
      </c>
      <c r="I55" s="40" t="s">
        <v>70</v>
      </c>
      <c r="J55" s="119" t="s">
        <v>973</v>
      </c>
      <c r="K55" s="40" t="s">
        <v>71</v>
      </c>
      <c r="L55" s="40" t="s">
        <v>833</v>
      </c>
    </row>
    <row r="56" spans="1:12" ht="24" x14ac:dyDescent="0.25">
      <c r="A56" s="121">
        <v>53</v>
      </c>
      <c r="B56" s="54" t="s">
        <v>770</v>
      </c>
      <c r="C56" s="40" t="s">
        <v>695</v>
      </c>
      <c r="D56" s="83">
        <v>1</v>
      </c>
      <c r="E56" s="124" t="s">
        <v>831</v>
      </c>
      <c r="F56" s="126">
        <v>3000</v>
      </c>
      <c r="G56" s="87">
        <f t="shared" si="0"/>
        <v>3000</v>
      </c>
      <c r="H56" s="40" t="s">
        <v>715</v>
      </c>
      <c r="I56" s="40" t="s">
        <v>70</v>
      </c>
      <c r="J56" s="119" t="s">
        <v>973</v>
      </c>
      <c r="K56" s="40" t="s">
        <v>71</v>
      </c>
      <c r="L56" s="40" t="s">
        <v>833</v>
      </c>
    </row>
    <row r="57" spans="1:12" ht="24" x14ac:dyDescent="0.25">
      <c r="A57" s="122">
        <v>54</v>
      </c>
      <c r="B57" s="54" t="s">
        <v>771</v>
      </c>
      <c r="C57" s="40" t="s">
        <v>695</v>
      </c>
      <c r="D57" s="83">
        <v>1</v>
      </c>
      <c r="E57" s="124" t="s">
        <v>831</v>
      </c>
      <c r="F57" s="126">
        <v>7500</v>
      </c>
      <c r="G57" s="87">
        <f t="shared" si="0"/>
        <v>7500</v>
      </c>
      <c r="H57" s="40" t="s">
        <v>715</v>
      </c>
      <c r="I57" s="40" t="s">
        <v>70</v>
      </c>
      <c r="J57" s="119" t="s">
        <v>973</v>
      </c>
      <c r="K57" s="40" t="s">
        <v>71</v>
      </c>
      <c r="L57" s="40" t="s">
        <v>833</v>
      </c>
    </row>
    <row r="58" spans="1:12" ht="24" x14ac:dyDescent="0.25">
      <c r="A58" s="122">
        <v>55</v>
      </c>
      <c r="B58" s="54" t="s">
        <v>772</v>
      </c>
      <c r="C58" s="40" t="s">
        <v>695</v>
      </c>
      <c r="D58" s="83">
        <v>1</v>
      </c>
      <c r="E58" s="124" t="s">
        <v>831</v>
      </c>
      <c r="F58" s="128">
        <v>300</v>
      </c>
      <c r="G58" s="87">
        <f t="shared" si="0"/>
        <v>300</v>
      </c>
      <c r="H58" s="40" t="s">
        <v>715</v>
      </c>
      <c r="I58" s="40" t="s">
        <v>70</v>
      </c>
      <c r="J58" s="119" t="s">
        <v>973</v>
      </c>
      <c r="K58" s="40" t="s">
        <v>71</v>
      </c>
      <c r="L58" s="40" t="s">
        <v>833</v>
      </c>
    </row>
    <row r="59" spans="1:12" ht="24" x14ac:dyDescent="0.25">
      <c r="A59" s="121">
        <v>56</v>
      </c>
      <c r="B59" s="54" t="s">
        <v>773</v>
      </c>
      <c r="C59" s="40" t="s">
        <v>695</v>
      </c>
      <c r="D59" s="83">
        <v>1</v>
      </c>
      <c r="E59" s="124" t="s">
        <v>12</v>
      </c>
      <c r="F59" s="126">
        <f>3000*3.5%+3000</f>
        <v>3105</v>
      </c>
      <c r="G59" s="87">
        <f t="shared" si="0"/>
        <v>3105</v>
      </c>
      <c r="H59" s="40" t="s">
        <v>715</v>
      </c>
      <c r="I59" s="40" t="s">
        <v>70</v>
      </c>
      <c r="J59" s="119" t="s">
        <v>973</v>
      </c>
      <c r="K59" s="40" t="s">
        <v>71</v>
      </c>
      <c r="L59" s="40" t="s">
        <v>833</v>
      </c>
    </row>
    <row r="60" spans="1:12" ht="24" x14ac:dyDescent="0.25">
      <c r="A60" s="122">
        <v>57</v>
      </c>
      <c r="B60" s="54" t="s">
        <v>774</v>
      </c>
      <c r="C60" s="40" t="s">
        <v>695</v>
      </c>
      <c r="D60" s="83">
        <v>1</v>
      </c>
      <c r="E60" s="124" t="s">
        <v>12</v>
      </c>
      <c r="F60" s="126">
        <f>1800*3.5%+1800</f>
        <v>1863</v>
      </c>
      <c r="G60" s="87">
        <f t="shared" si="0"/>
        <v>1863</v>
      </c>
      <c r="H60" s="40" t="s">
        <v>715</v>
      </c>
      <c r="I60" s="40" t="s">
        <v>70</v>
      </c>
      <c r="J60" s="119" t="s">
        <v>973</v>
      </c>
      <c r="K60" s="40" t="s">
        <v>71</v>
      </c>
      <c r="L60" s="40" t="s">
        <v>833</v>
      </c>
    </row>
    <row r="61" spans="1:12" ht="24" x14ac:dyDescent="0.25">
      <c r="A61" s="122">
        <v>58</v>
      </c>
      <c r="B61" s="54" t="s">
        <v>772</v>
      </c>
      <c r="C61" s="40" t="s">
        <v>695</v>
      </c>
      <c r="D61" s="83">
        <v>1</v>
      </c>
      <c r="E61" s="124" t="s">
        <v>12</v>
      </c>
      <c r="F61" s="128">
        <f>300*3.5%+300</f>
        <v>310.5</v>
      </c>
      <c r="G61" s="87">
        <f t="shared" si="0"/>
        <v>310.5</v>
      </c>
      <c r="H61" s="40" t="s">
        <v>715</v>
      </c>
      <c r="I61" s="40" t="s">
        <v>70</v>
      </c>
      <c r="J61" s="119" t="s">
        <v>973</v>
      </c>
      <c r="K61" s="40" t="s">
        <v>71</v>
      </c>
      <c r="L61" s="40" t="s">
        <v>833</v>
      </c>
    </row>
    <row r="62" spans="1:12" ht="24" x14ac:dyDescent="0.25">
      <c r="A62" s="121">
        <v>59</v>
      </c>
      <c r="B62" s="54" t="s">
        <v>775</v>
      </c>
      <c r="C62" s="40" t="s">
        <v>695</v>
      </c>
      <c r="D62" s="83">
        <v>1</v>
      </c>
      <c r="E62" s="124" t="s">
        <v>12</v>
      </c>
      <c r="F62" s="126">
        <f>1000*3.5%+1000</f>
        <v>1035</v>
      </c>
      <c r="G62" s="87">
        <f t="shared" si="0"/>
        <v>1035</v>
      </c>
      <c r="H62" s="40" t="s">
        <v>715</v>
      </c>
      <c r="I62" s="40" t="s">
        <v>70</v>
      </c>
      <c r="J62" s="119" t="s">
        <v>973</v>
      </c>
      <c r="K62" s="40" t="s">
        <v>71</v>
      </c>
      <c r="L62" s="40" t="s">
        <v>833</v>
      </c>
    </row>
    <row r="63" spans="1:12" ht="24" x14ac:dyDescent="0.25">
      <c r="A63" s="122">
        <v>60</v>
      </c>
      <c r="B63" s="54" t="s">
        <v>776</v>
      </c>
      <c r="C63" s="40" t="s">
        <v>695</v>
      </c>
      <c r="D63" s="83">
        <v>1</v>
      </c>
      <c r="E63" s="124" t="s">
        <v>12</v>
      </c>
      <c r="F63" s="126">
        <f>8600*3.5%+8600</f>
        <v>8901</v>
      </c>
      <c r="G63" s="87">
        <f t="shared" si="0"/>
        <v>8901</v>
      </c>
      <c r="H63" s="40" t="s">
        <v>715</v>
      </c>
      <c r="I63" s="40" t="s">
        <v>70</v>
      </c>
      <c r="J63" s="119" t="s">
        <v>973</v>
      </c>
      <c r="K63" s="40" t="s">
        <v>71</v>
      </c>
      <c r="L63" s="40" t="s">
        <v>833</v>
      </c>
    </row>
    <row r="64" spans="1:12" ht="24" x14ac:dyDescent="0.25">
      <c r="A64" s="122">
        <v>61</v>
      </c>
      <c r="B64" s="54" t="s">
        <v>777</v>
      </c>
      <c r="C64" s="40" t="s">
        <v>695</v>
      </c>
      <c r="D64" s="83">
        <v>1</v>
      </c>
      <c r="E64" s="124" t="s">
        <v>831</v>
      </c>
      <c r="F64" s="126">
        <f>3000*3.5%+3000</f>
        <v>3105</v>
      </c>
      <c r="G64" s="87">
        <f t="shared" si="0"/>
        <v>3105</v>
      </c>
      <c r="H64" s="40" t="s">
        <v>715</v>
      </c>
      <c r="I64" s="40" t="s">
        <v>70</v>
      </c>
      <c r="J64" s="119" t="s">
        <v>973</v>
      </c>
      <c r="K64" s="40" t="s">
        <v>71</v>
      </c>
      <c r="L64" s="40" t="s">
        <v>833</v>
      </c>
    </row>
    <row r="65" spans="1:12" ht="24" x14ac:dyDescent="0.25">
      <c r="A65" s="121">
        <v>62</v>
      </c>
      <c r="B65" s="54" t="s">
        <v>778</v>
      </c>
      <c r="C65" s="40" t="s">
        <v>695</v>
      </c>
      <c r="D65" s="83">
        <v>1</v>
      </c>
      <c r="E65" s="124" t="s">
        <v>831</v>
      </c>
      <c r="F65" s="126">
        <f>7000*3.5%+7000</f>
        <v>7245</v>
      </c>
      <c r="G65" s="87">
        <f t="shared" si="0"/>
        <v>7245</v>
      </c>
      <c r="H65" s="40" t="s">
        <v>715</v>
      </c>
      <c r="I65" s="40" t="s">
        <v>70</v>
      </c>
      <c r="J65" s="119" t="s">
        <v>973</v>
      </c>
      <c r="K65" s="40" t="s">
        <v>71</v>
      </c>
      <c r="L65" s="40" t="s">
        <v>833</v>
      </c>
    </row>
    <row r="66" spans="1:12" ht="24" x14ac:dyDescent="0.25">
      <c r="A66" s="122">
        <v>63</v>
      </c>
      <c r="B66" s="54" t="s">
        <v>779</v>
      </c>
      <c r="C66" s="40" t="s">
        <v>695</v>
      </c>
      <c r="D66" s="83">
        <v>1</v>
      </c>
      <c r="E66" s="124" t="s">
        <v>831</v>
      </c>
      <c r="F66" s="126">
        <f>9000*3.5%+9000</f>
        <v>9315</v>
      </c>
      <c r="G66" s="87">
        <f t="shared" si="0"/>
        <v>9315</v>
      </c>
      <c r="H66" s="40" t="s">
        <v>715</v>
      </c>
      <c r="I66" s="40" t="s">
        <v>70</v>
      </c>
      <c r="J66" s="119" t="s">
        <v>973</v>
      </c>
      <c r="K66" s="40" t="s">
        <v>71</v>
      </c>
      <c r="L66" s="40" t="s">
        <v>833</v>
      </c>
    </row>
    <row r="67" spans="1:12" ht="24" x14ac:dyDescent="0.25">
      <c r="A67" s="122">
        <v>64</v>
      </c>
      <c r="B67" s="54" t="s">
        <v>780</v>
      </c>
      <c r="C67" s="40" t="s">
        <v>695</v>
      </c>
      <c r="D67" s="83">
        <v>1</v>
      </c>
      <c r="E67" s="124" t="s">
        <v>27</v>
      </c>
      <c r="F67" s="126">
        <f>5000*3.5%+5000</f>
        <v>5175</v>
      </c>
      <c r="G67" s="87">
        <f t="shared" si="0"/>
        <v>5175</v>
      </c>
      <c r="H67" s="40" t="s">
        <v>715</v>
      </c>
      <c r="I67" s="40" t="s">
        <v>70</v>
      </c>
      <c r="J67" s="119" t="s">
        <v>973</v>
      </c>
      <c r="K67" s="40" t="s">
        <v>71</v>
      </c>
      <c r="L67" s="40" t="s">
        <v>833</v>
      </c>
    </row>
    <row r="68" spans="1:12" ht="24" x14ac:dyDescent="0.25">
      <c r="A68" s="121">
        <v>65</v>
      </c>
      <c r="B68" s="54" t="s">
        <v>781</v>
      </c>
      <c r="C68" s="40" t="s">
        <v>695</v>
      </c>
      <c r="D68" s="83">
        <v>1</v>
      </c>
      <c r="E68" s="124" t="s">
        <v>12</v>
      </c>
      <c r="F68" s="126">
        <f>39000*3.5%+39000</f>
        <v>40365</v>
      </c>
      <c r="G68" s="87">
        <f t="shared" si="0"/>
        <v>40365</v>
      </c>
      <c r="H68" s="40" t="s">
        <v>715</v>
      </c>
      <c r="I68" s="40" t="s">
        <v>70</v>
      </c>
      <c r="J68" s="119" t="s">
        <v>973</v>
      </c>
      <c r="K68" s="40" t="s">
        <v>71</v>
      </c>
      <c r="L68" s="40" t="s">
        <v>833</v>
      </c>
    </row>
    <row r="69" spans="1:12" ht="24" x14ac:dyDescent="0.25">
      <c r="A69" s="122">
        <v>66</v>
      </c>
      <c r="B69" s="54" t="s">
        <v>782</v>
      </c>
      <c r="C69" s="40" t="s">
        <v>695</v>
      </c>
      <c r="D69" s="83">
        <v>1</v>
      </c>
      <c r="E69" s="124" t="s">
        <v>12</v>
      </c>
      <c r="F69" s="126">
        <f>320000*3.5%+320000</f>
        <v>331200</v>
      </c>
      <c r="G69" s="87">
        <f t="shared" ref="G69:G117" si="3">D69*F69</f>
        <v>331200</v>
      </c>
      <c r="H69" s="40" t="s">
        <v>715</v>
      </c>
      <c r="I69" s="40" t="s">
        <v>70</v>
      </c>
      <c r="J69" s="119" t="s">
        <v>973</v>
      </c>
      <c r="K69" s="40" t="s">
        <v>71</v>
      </c>
      <c r="L69" s="40" t="s">
        <v>833</v>
      </c>
    </row>
    <row r="70" spans="1:12" ht="24" x14ac:dyDescent="0.25">
      <c r="A70" s="122">
        <v>67</v>
      </c>
      <c r="B70" s="54" t="s">
        <v>783</v>
      </c>
      <c r="C70" s="40" t="s">
        <v>695</v>
      </c>
      <c r="D70" s="83">
        <v>1</v>
      </c>
      <c r="E70" s="124" t="s">
        <v>12</v>
      </c>
      <c r="F70" s="126">
        <f>7000*3.5%+7000</f>
        <v>7245</v>
      </c>
      <c r="G70" s="87">
        <f t="shared" si="3"/>
        <v>7245</v>
      </c>
      <c r="H70" s="40" t="s">
        <v>715</v>
      </c>
      <c r="I70" s="40" t="s">
        <v>70</v>
      </c>
      <c r="J70" s="119" t="s">
        <v>973</v>
      </c>
      <c r="K70" s="40" t="s">
        <v>71</v>
      </c>
      <c r="L70" s="40" t="s">
        <v>833</v>
      </c>
    </row>
    <row r="71" spans="1:12" ht="24" x14ac:dyDescent="0.25">
      <c r="A71" s="121">
        <v>68</v>
      </c>
      <c r="B71" s="54" t="s">
        <v>784</v>
      </c>
      <c r="C71" s="40" t="s">
        <v>695</v>
      </c>
      <c r="D71" s="83">
        <v>1</v>
      </c>
      <c r="E71" s="124" t="s">
        <v>12</v>
      </c>
      <c r="F71" s="126">
        <f>5500*3.5%+5500</f>
        <v>5692.5</v>
      </c>
      <c r="G71" s="87">
        <f t="shared" si="3"/>
        <v>5692.5</v>
      </c>
      <c r="H71" s="40" t="s">
        <v>715</v>
      </c>
      <c r="I71" s="40" t="s">
        <v>70</v>
      </c>
      <c r="J71" s="119" t="s">
        <v>973</v>
      </c>
      <c r="K71" s="40" t="s">
        <v>71</v>
      </c>
      <c r="L71" s="40" t="s">
        <v>833</v>
      </c>
    </row>
    <row r="72" spans="1:12" ht="24" x14ac:dyDescent="0.25">
      <c r="A72" s="122">
        <v>69</v>
      </c>
      <c r="B72" s="54" t="s">
        <v>785</v>
      </c>
      <c r="C72" s="40" t="s">
        <v>695</v>
      </c>
      <c r="D72" s="83">
        <v>1</v>
      </c>
      <c r="E72" s="124" t="s">
        <v>12</v>
      </c>
      <c r="F72" s="126">
        <f>9000*3.5%+9000</f>
        <v>9315</v>
      </c>
      <c r="G72" s="87">
        <f t="shared" si="3"/>
        <v>9315</v>
      </c>
      <c r="H72" s="40" t="s">
        <v>715</v>
      </c>
      <c r="I72" s="40" t="s">
        <v>70</v>
      </c>
      <c r="J72" s="119" t="s">
        <v>973</v>
      </c>
      <c r="K72" s="40" t="s">
        <v>71</v>
      </c>
      <c r="L72" s="40" t="s">
        <v>833</v>
      </c>
    </row>
    <row r="73" spans="1:12" ht="24" x14ac:dyDescent="0.25">
      <c r="A73" s="122">
        <v>70</v>
      </c>
      <c r="B73" s="54" t="s">
        <v>786</v>
      </c>
      <c r="C73" s="40" t="s">
        <v>695</v>
      </c>
      <c r="D73" s="83">
        <v>1</v>
      </c>
      <c r="E73" s="124" t="s">
        <v>831</v>
      </c>
      <c r="F73" s="126">
        <f>49000*3.5%+49000</f>
        <v>50715</v>
      </c>
      <c r="G73" s="87">
        <f t="shared" si="3"/>
        <v>50715</v>
      </c>
      <c r="H73" s="40" t="s">
        <v>715</v>
      </c>
      <c r="I73" s="40" t="s">
        <v>70</v>
      </c>
      <c r="J73" s="119" t="s">
        <v>973</v>
      </c>
      <c r="K73" s="40" t="s">
        <v>71</v>
      </c>
      <c r="L73" s="40" t="s">
        <v>833</v>
      </c>
    </row>
    <row r="74" spans="1:12" ht="24" x14ac:dyDescent="0.25">
      <c r="A74" s="121">
        <v>71</v>
      </c>
      <c r="B74" s="54" t="s">
        <v>787</v>
      </c>
      <c r="C74" s="40" t="s">
        <v>695</v>
      </c>
      <c r="D74" s="83">
        <v>1</v>
      </c>
      <c r="E74" s="124" t="s">
        <v>831</v>
      </c>
      <c r="F74" s="126">
        <f>3200000*3.5%+3200000</f>
        <v>3312000</v>
      </c>
      <c r="G74" s="87">
        <f t="shared" si="3"/>
        <v>3312000</v>
      </c>
      <c r="H74" s="40" t="s">
        <v>715</v>
      </c>
      <c r="I74" s="40" t="s">
        <v>70</v>
      </c>
      <c r="J74" s="119" t="s">
        <v>973</v>
      </c>
      <c r="K74" s="40" t="s">
        <v>71</v>
      </c>
      <c r="L74" s="40" t="s">
        <v>833</v>
      </c>
    </row>
    <row r="75" spans="1:12" ht="24" x14ac:dyDescent="0.25">
      <c r="A75" s="122">
        <v>72</v>
      </c>
      <c r="B75" s="54" t="s">
        <v>788</v>
      </c>
      <c r="C75" s="40" t="s">
        <v>695</v>
      </c>
      <c r="D75" s="83">
        <v>1</v>
      </c>
      <c r="E75" s="124" t="s">
        <v>714</v>
      </c>
      <c r="F75" s="126">
        <f>720000*3.5%+720000</f>
        <v>745200</v>
      </c>
      <c r="G75" s="87">
        <f t="shared" si="3"/>
        <v>745200</v>
      </c>
      <c r="H75" s="40" t="s">
        <v>715</v>
      </c>
      <c r="I75" s="40" t="s">
        <v>70</v>
      </c>
      <c r="J75" s="119" t="s">
        <v>973</v>
      </c>
      <c r="K75" s="40" t="s">
        <v>71</v>
      </c>
      <c r="L75" s="40" t="s">
        <v>833</v>
      </c>
    </row>
    <row r="76" spans="1:12" ht="24" x14ac:dyDescent="0.25">
      <c r="A76" s="122">
        <v>73</v>
      </c>
      <c r="B76" s="54" t="s">
        <v>789</v>
      </c>
      <c r="C76" s="40" t="s">
        <v>695</v>
      </c>
      <c r="D76" s="83">
        <v>1</v>
      </c>
      <c r="E76" s="124" t="s">
        <v>831</v>
      </c>
      <c r="F76" s="126">
        <f>1000*3.5%+1000</f>
        <v>1035</v>
      </c>
      <c r="G76" s="87">
        <f t="shared" si="3"/>
        <v>1035</v>
      </c>
      <c r="H76" s="40" t="s">
        <v>715</v>
      </c>
      <c r="I76" s="40" t="s">
        <v>70</v>
      </c>
      <c r="J76" s="119" t="s">
        <v>973</v>
      </c>
      <c r="K76" s="40" t="s">
        <v>71</v>
      </c>
      <c r="L76" s="40" t="s">
        <v>833</v>
      </c>
    </row>
    <row r="77" spans="1:12" ht="24" x14ac:dyDescent="0.25">
      <c r="A77" s="121">
        <v>74</v>
      </c>
      <c r="B77" s="54" t="s">
        <v>790</v>
      </c>
      <c r="C77" s="40" t="s">
        <v>695</v>
      </c>
      <c r="D77" s="83">
        <v>1</v>
      </c>
      <c r="E77" s="124" t="s">
        <v>714</v>
      </c>
      <c r="F77" s="126">
        <f>690000*3.5%+690000</f>
        <v>714150</v>
      </c>
      <c r="G77" s="87">
        <f t="shared" si="3"/>
        <v>714150</v>
      </c>
      <c r="H77" s="40" t="s">
        <v>715</v>
      </c>
      <c r="I77" s="40" t="s">
        <v>70</v>
      </c>
      <c r="J77" s="119" t="s">
        <v>973</v>
      </c>
      <c r="K77" s="40" t="s">
        <v>71</v>
      </c>
      <c r="L77" s="40" t="s">
        <v>833</v>
      </c>
    </row>
    <row r="78" spans="1:12" ht="24" x14ac:dyDescent="0.25">
      <c r="A78" s="122">
        <v>75</v>
      </c>
      <c r="B78" s="54" t="s">
        <v>791</v>
      </c>
      <c r="C78" s="40" t="s">
        <v>695</v>
      </c>
      <c r="D78" s="83">
        <v>1</v>
      </c>
      <c r="E78" s="124" t="s">
        <v>714</v>
      </c>
      <c r="F78" s="126">
        <f>690000*3.5%+690000</f>
        <v>714150</v>
      </c>
      <c r="G78" s="87">
        <f t="shared" si="3"/>
        <v>714150</v>
      </c>
      <c r="H78" s="40" t="s">
        <v>715</v>
      </c>
      <c r="I78" s="40" t="s">
        <v>70</v>
      </c>
      <c r="J78" s="119" t="s">
        <v>973</v>
      </c>
      <c r="K78" s="40" t="s">
        <v>71</v>
      </c>
      <c r="L78" s="40" t="s">
        <v>833</v>
      </c>
    </row>
    <row r="79" spans="1:12" ht="24" x14ac:dyDescent="0.25">
      <c r="A79" s="122">
        <v>76</v>
      </c>
      <c r="B79" s="54" t="s">
        <v>792</v>
      </c>
      <c r="C79" s="40" t="s">
        <v>695</v>
      </c>
      <c r="D79" s="83">
        <v>1</v>
      </c>
      <c r="E79" s="124" t="s">
        <v>12</v>
      </c>
      <c r="F79" s="126">
        <f>220000*3.5%+220000</f>
        <v>227700</v>
      </c>
      <c r="G79" s="87">
        <f t="shared" si="3"/>
        <v>227700</v>
      </c>
      <c r="H79" s="40" t="s">
        <v>715</v>
      </c>
      <c r="I79" s="40" t="s">
        <v>70</v>
      </c>
      <c r="J79" s="119" t="s">
        <v>973</v>
      </c>
      <c r="K79" s="40" t="s">
        <v>71</v>
      </c>
      <c r="L79" s="40" t="s">
        <v>833</v>
      </c>
    </row>
    <row r="80" spans="1:12" ht="24" x14ac:dyDescent="0.25">
      <c r="A80" s="121">
        <v>77</v>
      </c>
      <c r="B80" s="54" t="s">
        <v>793</v>
      </c>
      <c r="C80" s="40" t="s">
        <v>695</v>
      </c>
      <c r="D80" s="83">
        <v>1</v>
      </c>
      <c r="E80" s="124" t="s">
        <v>12</v>
      </c>
      <c r="F80" s="126">
        <f>280000*3.5%+280000</f>
        <v>289800</v>
      </c>
      <c r="G80" s="87">
        <f t="shared" si="3"/>
        <v>289800</v>
      </c>
      <c r="H80" s="40" t="s">
        <v>715</v>
      </c>
      <c r="I80" s="40" t="s">
        <v>70</v>
      </c>
      <c r="J80" s="119" t="s">
        <v>973</v>
      </c>
      <c r="K80" s="40" t="s">
        <v>71</v>
      </c>
      <c r="L80" s="40" t="s">
        <v>833</v>
      </c>
    </row>
    <row r="81" spans="1:12" ht="24" x14ac:dyDescent="0.25">
      <c r="A81" s="122">
        <v>78</v>
      </c>
      <c r="B81" s="54" t="s">
        <v>794</v>
      </c>
      <c r="C81" s="40" t="s">
        <v>695</v>
      </c>
      <c r="D81" s="83">
        <v>1</v>
      </c>
      <c r="E81" s="124" t="s">
        <v>12</v>
      </c>
      <c r="F81" s="126">
        <f>48000*3.5%+48000</f>
        <v>49680</v>
      </c>
      <c r="G81" s="87">
        <f t="shared" si="3"/>
        <v>49680</v>
      </c>
      <c r="H81" s="40" t="s">
        <v>715</v>
      </c>
      <c r="I81" s="40" t="s">
        <v>70</v>
      </c>
      <c r="J81" s="119" t="s">
        <v>973</v>
      </c>
      <c r="K81" s="40" t="s">
        <v>71</v>
      </c>
      <c r="L81" s="40" t="s">
        <v>833</v>
      </c>
    </row>
    <row r="82" spans="1:12" ht="24" x14ac:dyDescent="0.25">
      <c r="A82" s="122">
        <v>79</v>
      </c>
      <c r="B82" s="54" t="s">
        <v>795</v>
      </c>
      <c r="C82" s="40" t="s">
        <v>695</v>
      </c>
      <c r="D82" s="83">
        <v>1</v>
      </c>
      <c r="E82" s="124" t="s">
        <v>12</v>
      </c>
      <c r="F82" s="126">
        <f>65000*3.5%+65000</f>
        <v>67275</v>
      </c>
      <c r="G82" s="87">
        <f t="shared" si="3"/>
        <v>67275</v>
      </c>
      <c r="H82" s="40" t="s">
        <v>715</v>
      </c>
      <c r="I82" s="40" t="s">
        <v>70</v>
      </c>
      <c r="J82" s="119" t="s">
        <v>973</v>
      </c>
      <c r="K82" s="40" t="s">
        <v>71</v>
      </c>
      <c r="L82" s="40" t="s">
        <v>833</v>
      </c>
    </row>
    <row r="83" spans="1:12" ht="24" x14ac:dyDescent="0.25">
      <c r="A83" s="121">
        <v>80</v>
      </c>
      <c r="B83" s="54" t="s">
        <v>796</v>
      </c>
      <c r="C83" s="40" t="s">
        <v>695</v>
      </c>
      <c r="D83" s="83">
        <v>1</v>
      </c>
      <c r="E83" s="124" t="s">
        <v>12</v>
      </c>
      <c r="F83" s="126">
        <f>198000*3.5%+198000</f>
        <v>204930</v>
      </c>
      <c r="G83" s="87">
        <f t="shared" si="3"/>
        <v>204930</v>
      </c>
      <c r="H83" s="40" t="s">
        <v>715</v>
      </c>
      <c r="I83" s="40" t="s">
        <v>70</v>
      </c>
      <c r="J83" s="119" t="s">
        <v>973</v>
      </c>
      <c r="K83" s="40" t="s">
        <v>71</v>
      </c>
      <c r="L83" s="40" t="s">
        <v>833</v>
      </c>
    </row>
    <row r="84" spans="1:12" ht="24" x14ac:dyDescent="0.25">
      <c r="A84" s="122">
        <v>81</v>
      </c>
      <c r="B84" s="54" t="s">
        <v>797</v>
      </c>
      <c r="C84" s="40" t="s">
        <v>695</v>
      </c>
      <c r="D84" s="83">
        <v>1</v>
      </c>
      <c r="E84" s="124" t="s">
        <v>714</v>
      </c>
      <c r="F84" s="126">
        <f>55000*3.5%+55000</f>
        <v>56925</v>
      </c>
      <c r="G84" s="87">
        <f t="shared" si="3"/>
        <v>56925</v>
      </c>
      <c r="H84" s="40" t="s">
        <v>715</v>
      </c>
      <c r="I84" s="40" t="s">
        <v>70</v>
      </c>
      <c r="J84" s="119" t="s">
        <v>973</v>
      </c>
      <c r="K84" s="40" t="s">
        <v>71</v>
      </c>
      <c r="L84" s="40" t="s">
        <v>833</v>
      </c>
    </row>
    <row r="85" spans="1:12" ht="24" x14ac:dyDescent="0.25">
      <c r="A85" s="122">
        <v>82</v>
      </c>
      <c r="B85" s="54" t="s">
        <v>798</v>
      </c>
      <c r="C85" s="40" t="s">
        <v>695</v>
      </c>
      <c r="D85" s="83">
        <v>1</v>
      </c>
      <c r="E85" s="124" t="s">
        <v>714</v>
      </c>
      <c r="F85" s="126">
        <f>86000*3.5%+86000</f>
        <v>89010</v>
      </c>
      <c r="G85" s="87">
        <f t="shared" si="3"/>
        <v>89010</v>
      </c>
      <c r="H85" s="40" t="s">
        <v>715</v>
      </c>
      <c r="I85" s="40" t="s">
        <v>70</v>
      </c>
      <c r="J85" s="119" t="s">
        <v>973</v>
      </c>
      <c r="K85" s="40" t="s">
        <v>71</v>
      </c>
      <c r="L85" s="40" t="s">
        <v>833</v>
      </c>
    </row>
    <row r="86" spans="1:12" ht="24" x14ac:dyDescent="0.25">
      <c r="A86" s="121">
        <v>83</v>
      </c>
      <c r="B86" s="54" t="s">
        <v>799</v>
      </c>
      <c r="C86" s="40" t="s">
        <v>695</v>
      </c>
      <c r="D86" s="83">
        <v>1</v>
      </c>
      <c r="E86" s="124" t="s">
        <v>831</v>
      </c>
      <c r="F86" s="126">
        <f>28000*3.5%+28000</f>
        <v>28980</v>
      </c>
      <c r="G86" s="87">
        <f t="shared" si="3"/>
        <v>28980</v>
      </c>
      <c r="H86" s="40" t="s">
        <v>715</v>
      </c>
      <c r="I86" s="40" t="s">
        <v>70</v>
      </c>
      <c r="J86" s="119" t="s">
        <v>973</v>
      </c>
      <c r="K86" s="40" t="s">
        <v>71</v>
      </c>
      <c r="L86" s="40" t="s">
        <v>833</v>
      </c>
    </row>
    <row r="87" spans="1:12" ht="24" x14ac:dyDescent="0.25">
      <c r="A87" s="122">
        <v>84</v>
      </c>
      <c r="B87" s="54" t="s">
        <v>800</v>
      </c>
      <c r="C87" s="40" t="s">
        <v>695</v>
      </c>
      <c r="D87" s="83">
        <v>1</v>
      </c>
      <c r="E87" s="124" t="s">
        <v>831</v>
      </c>
      <c r="F87" s="126">
        <f>430000*3.5%+430000</f>
        <v>445050</v>
      </c>
      <c r="G87" s="87">
        <f t="shared" si="3"/>
        <v>445050</v>
      </c>
      <c r="H87" s="40" t="s">
        <v>715</v>
      </c>
      <c r="I87" s="40" t="s">
        <v>70</v>
      </c>
      <c r="J87" s="119" t="s">
        <v>973</v>
      </c>
      <c r="K87" s="40" t="s">
        <v>71</v>
      </c>
      <c r="L87" s="40" t="s">
        <v>833</v>
      </c>
    </row>
    <row r="88" spans="1:12" ht="24" x14ac:dyDescent="0.25">
      <c r="A88" s="122">
        <v>85</v>
      </c>
      <c r="B88" s="54" t="s">
        <v>801</v>
      </c>
      <c r="C88" s="40" t="s">
        <v>695</v>
      </c>
      <c r="D88" s="83">
        <v>1</v>
      </c>
      <c r="E88" s="124" t="s">
        <v>714</v>
      </c>
      <c r="F88" s="126">
        <f>400000*3.5%+400000</f>
        <v>414000</v>
      </c>
      <c r="G88" s="87">
        <f t="shared" si="3"/>
        <v>414000</v>
      </c>
      <c r="H88" s="40" t="s">
        <v>715</v>
      </c>
      <c r="I88" s="40" t="s">
        <v>70</v>
      </c>
      <c r="J88" s="119" t="s">
        <v>973</v>
      </c>
      <c r="K88" s="40" t="s">
        <v>71</v>
      </c>
      <c r="L88" s="40" t="s">
        <v>833</v>
      </c>
    </row>
    <row r="89" spans="1:12" ht="24" x14ac:dyDescent="0.25">
      <c r="A89" s="121">
        <v>86</v>
      </c>
      <c r="B89" s="54" t="s">
        <v>802</v>
      </c>
      <c r="C89" s="40" t="s">
        <v>695</v>
      </c>
      <c r="D89" s="83">
        <v>1</v>
      </c>
      <c r="E89" s="124" t="s">
        <v>831</v>
      </c>
      <c r="F89" s="126">
        <f>42000*3.5%+42000</f>
        <v>43470</v>
      </c>
      <c r="G89" s="87">
        <f t="shared" si="3"/>
        <v>43470</v>
      </c>
      <c r="H89" s="40" t="s">
        <v>715</v>
      </c>
      <c r="I89" s="40" t="s">
        <v>70</v>
      </c>
      <c r="J89" s="119" t="s">
        <v>973</v>
      </c>
      <c r="K89" s="40" t="s">
        <v>71</v>
      </c>
      <c r="L89" s="40" t="s">
        <v>833</v>
      </c>
    </row>
    <row r="90" spans="1:12" ht="24" x14ac:dyDescent="0.25">
      <c r="A90" s="122">
        <v>87</v>
      </c>
      <c r="B90" s="54" t="s">
        <v>803</v>
      </c>
      <c r="C90" s="40" t="s">
        <v>695</v>
      </c>
      <c r="D90" s="83">
        <v>1</v>
      </c>
      <c r="E90" s="124" t="s">
        <v>12</v>
      </c>
      <c r="F90" s="126">
        <f>38000*3.5%+38000</f>
        <v>39330</v>
      </c>
      <c r="G90" s="87">
        <f t="shared" si="3"/>
        <v>39330</v>
      </c>
      <c r="H90" s="40" t="s">
        <v>715</v>
      </c>
      <c r="I90" s="40" t="s">
        <v>70</v>
      </c>
      <c r="J90" s="119" t="s">
        <v>973</v>
      </c>
      <c r="K90" s="40" t="s">
        <v>71</v>
      </c>
      <c r="L90" s="40" t="s">
        <v>833</v>
      </c>
    </row>
    <row r="91" spans="1:12" ht="24" x14ac:dyDescent="0.25">
      <c r="A91" s="122">
        <v>88</v>
      </c>
      <c r="B91" s="54" t="s">
        <v>804</v>
      </c>
      <c r="C91" s="40" t="s">
        <v>695</v>
      </c>
      <c r="D91" s="83">
        <v>1</v>
      </c>
      <c r="E91" s="124" t="s">
        <v>12</v>
      </c>
      <c r="F91" s="126">
        <f>40000*3.5%+40000</f>
        <v>41400</v>
      </c>
      <c r="G91" s="87">
        <f t="shared" si="3"/>
        <v>41400</v>
      </c>
      <c r="H91" s="40" t="s">
        <v>715</v>
      </c>
      <c r="I91" s="40" t="s">
        <v>70</v>
      </c>
      <c r="J91" s="119" t="s">
        <v>973</v>
      </c>
      <c r="K91" s="40" t="s">
        <v>71</v>
      </c>
      <c r="L91" s="40" t="s">
        <v>833</v>
      </c>
    </row>
    <row r="92" spans="1:12" ht="24" x14ac:dyDescent="0.25">
      <c r="A92" s="121">
        <v>89</v>
      </c>
      <c r="B92" s="54" t="s">
        <v>802</v>
      </c>
      <c r="C92" s="40" t="s">
        <v>695</v>
      </c>
      <c r="D92" s="83">
        <v>1</v>
      </c>
      <c r="E92" s="124" t="s">
        <v>12</v>
      </c>
      <c r="F92" s="126">
        <f>42000*3.5%+42000</f>
        <v>43470</v>
      </c>
      <c r="G92" s="87">
        <f t="shared" si="3"/>
        <v>43470</v>
      </c>
      <c r="H92" s="40" t="s">
        <v>715</v>
      </c>
      <c r="I92" s="40" t="s">
        <v>70</v>
      </c>
      <c r="J92" s="119" t="s">
        <v>973</v>
      </c>
      <c r="K92" s="40" t="s">
        <v>71</v>
      </c>
      <c r="L92" s="40" t="s">
        <v>833</v>
      </c>
    </row>
    <row r="93" spans="1:12" ht="24" x14ac:dyDescent="0.25">
      <c r="A93" s="122">
        <v>90</v>
      </c>
      <c r="B93" s="54" t="s">
        <v>805</v>
      </c>
      <c r="C93" s="40" t="s">
        <v>695</v>
      </c>
      <c r="D93" s="83">
        <v>1</v>
      </c>
      <c r="E93" s="124" t="s">
        <v>12</v>
      </c>
      <c r="F93" s="126">
        <f>39000*3.5%+39000</f>
        <v>40365</v>
      </c>
      <c r="G93" s="87">
        <f t="shared" si="3"/>
        <v>40365</v>
      </c>
      <c r="H93" s="40" t="s">
        <v>715</v>
      </c>
      <c r="I93" s="40" t="s">
        <v>70</v>
      </c>
      <c r="J93" s="119" t="s">
        <v>973</v>
      </c>
      <c r="K93" s="40" t="s">
        <v>71</v>
      </c>
      <c r="L93" s="40" t="s">
        <v>833</v>
      </c>
    </row>
    <row r="94" spans="1:12" ht="24" x14ac:dyDescent="0.25">
      <c r="A94" s="122">
        <v>91</v>
      </c>
      <c r="B94" s="54" t="s">
        <v>806</v>
      </c>
      <c r="C94" s="40" t="s">
        <v>695</v>
      </c>
      <c r="D94" s="83">
        <v>1</v>
      </c>
      <c r="E94" s="124" t="s">
        <v>831</v>
      </c>
      <c r="F94" s="126">
        <f>1000*3.5%+1000</f>
        <v>1035</v>
      </c>
      <c r="G94" s="87">
        <f t="shared" si="3"/>
        <v>1035</v>
      </c>
      <c r="H94" s="40" t="s">
        <v>715</v>
      </c>
      <c r="I94" s="40" t="s">
        <v>70</v>
      </c>
      <c r="J94" s="119" t="s">
        <v>973</v>
      </c>
      <c r="K94" s="40" t="s">
        <v>71</v>
      </c>
      <c r="L94" s="40" t="s">
        <v>833</v>
      </c>
    </row>
    <row r="95" spans="1:12" ht="24" x14ac:dyDescent="0.25">
      <c r="A95" s="121">
        <v>92</v>
      </c>
      <c r="B95" s="54" t="s">
        <v>807</v>
      </c>
      <c r="C95" s="40" t="s">
        <v>695</v>
      </c>
      <c r="D95" s="83">
        <v>1</v>
      </c>
      <c r="E95" s="124" t="s">
        <v>831</v>
      </c>
      <c r="F95" s="126">
        <f>100000*3.5%+100000</f>
        <v>103500</v>
      </c>
      <c r="G95" s="87">
        <f t="shared" si="3"/>
        <v>103500</v>
      </c>
      <c r="H95" s="40" t="s">
        <v>715</v>
      </c>
      <c r="I95" s="40" t="s">
        <v>70</v>
      </c>
      <c r="J95" s="119" t="s">
        <v>973</v>
      </c>
      <c r="K95" s="40" t="s">
        <v>71</v>
      </c>
      <c r="L95" s="40" t="s">
        <v>833</v>
      </c>
    </row>
    <row r="96" spans="1:12" ht="24" x14ac:dyDescent="0.25">
      <c r="A96" s="122">
        <v>93</v>
      </c>
      <c r="B96" s="54" t="s">
        <v>808</v>
      </c>
      <c r="C96" s="40" t="s">
        <v>695</v>
      </c>
      <c r="D96" s="83">
        <v>1</v>
      </c>
      <c r="E96" s="124" t="s">
        <v>831</v>
      </c>
      <c r="F96" s="126">
        <f>13000*3.5%+13000</f>
        <v>13455</v>
      </c>
      <c r="G96" s="87">
        <f t="shared" si="3"/>
        <v>13455</v>
      </c>
      <c r="H96" s="40" t="s">
        <v>715</v>
      </c>
      <c r="I96" s="40" t="s">
        <v>70</v>
      </c>
      <c r="J96" s="119" t="s">
        <v>973</v>
      </c>
      <c r="K96" s="40" t="s">
        <v>71</v>
      </c>
      <c r="L96" s="40" t="s">
        <v>833</v>
      </c>
    </row>
    <row r="97" spans="1:12" ht="24" x14ac:dyDescent="0.25">
      <c r="A97" s="122">
        <v>94</v>
      </c>
      <c r="B97" s="54" t="s">
        <v>809</v>
      </c>
      <c r="C97" s="40" t="s">
        <v>695</v>
      </c>
      <c r="D97" s="83">
        <v>1</v>
      </c>
      <c r="E97" s="124" t="s">
        <v>831</v>
      </c>
      <c r="F97" s="126">
        <f>17000*3.5%+17000</f>
        <v>17595</v>
      </c>
      <c r="G97" s="87">
        <f t="shared" si="3"/>
        <v>17595</v>
      </c>
      <c r="H97" s="40" t="s">
        <v>715</v>
      </c>
      <c r="I97" s="40" t="s">
        <v>70</v>
      </c>
      <c r="J97" s="119" t="s">
        <v>973</v>
      </c>
      <c r="K97" s="40" t="s">
        <v>71</v>
      </c>
      <c r="L97" s="40" t="s">
        <v>833</v>
      </c>
    </row>
    <row r="98" spans="1:12" ht="24" x14ac:dyDescent="0.25">
      <c r="A98" s="121">
        <v>95</v>
      </c>
      <c r="B98" s="54" t="s">
        <v>810</v>
      </c>
      <c r="C98" s="40" t="s">
        <v>695</v>
      </c>
      <c r="D98" s="83">
        <v>1</v>
      </c>
      <c r="E98" s="124" t="s">
        <v>831</v>
      </c>
      <c r="F98" s="128">
        <f>400*3.5%+400</f>
        <v>414</v>
      </c>
      <c r="G98" s="87">
        <f t="shared" si="3"/>
        <v>414</v>
      </c>
      <c r="H98" s="40" t="s">
        <v>715</v>
      </c>
      <c r="I98" s="40" t="s">
        <v>70</v>
      </c>
      <c r="J98" s="119" t="s">
        <v>973</v>
      </c>
      <c r="K98" s="40" t="s">
        <v>71</v>
      </c>
      <c r="L98" s="40" t="s">
        <v>833</v>
      </c>
    </row>
    <row r="99" spans="1:12" ht="24" x14ac:dyDescent="0.25">
      <c r="A99" s="122">
        <v>96</v>
      </c>
      <c r="B99" s="54" t="s">
        <v>811</v>
      </c>
      <c r="C99" s="40" t="s">
        <v>695</v>
      </c>
      <c r="D99" s="83">
        <v>1</v>
      </c>
      <c r="E99" s="124" t="s">
        <v>831</v>
      </c>
      <c r="F99" s="128">
        <f>300*3.5%+300</f>
        <v>310.5</v>
      </c>
      <c r="G99" s="87">
        <f t="shared" si="3"/>
        <v>310.5</v>
      </c>
      <c r="H99" s="40" t="s">
        <v>715</v>
      </c>
      <c r="I99" s="40" t="s">
        <v>70</v>
      </c>
      <c r="J99" s="119" t="s">
        <v>973</v>
      </c>
      <c r="K99" s="40" t="s">
        <v>71</v>
      </c>
      <c r="L99" s="40" t="s">
        <v>833</v>
      </c>
    </row>
    <row r="100" spans="1:12" ht="24" x14ac:dyDescent="0.25">
      <c r="A100" s="122">
        <v>97</v>
      </c>
      <c r="B100" s="54" t="s">
        <v>812</v>
      </c>
      <c r="C100" s="40" t="s">
        <v>695</v>
      </c>
      <c r="D100" s="83">
        <v>1</v>
      </c>
      <c r="E100" s="124" t="s">
        <v>831</v>
      </c>
      <c r="F100" s="128">
        <f t="shared" ref="F100:F101" si="4">400*3.5%+400</f>
        <v>414</v>
      </c>
      <c r="G100" s="87">
        <f t="shared" si="3"/>
        <v>414</v>
      </c>
      <c r="H100" s="40" t="s">
        <v>715</v>
      </c>
      <c r="I100" s="40" t="s">
        <v>70</v>
      </c>
      <c r="J100" s="119" t="s">
        <v>973</v>
      </c>
      <c r="K100" s="40" t="s">
        <v>71</v>
      </c>
      <c r="L100" s="40" t="s">
        <v>833</v>
      </c>
    </row>
    <row r="101" spans="1:12" ht="24" x14ac:dyDescent="0.25">
      <c r="A101" s="121">
        <v>98</v>
      </c>
      <c r="B101" s="54" t="s">
        <v>813</v>
      </c>
      <c r="C101" s="40" t="s">
        <v>695</v>
      </c>
      <c r="D101" s="83">
        <v>1</v>
      </c>
      <c r="E101" s="124" t="s">
        <v>831</v>
      </c>
      <c r="F101" s="128">
        <f t="shared" si="4"/>
        <v>414</v>
      </c>
      <c r="G101" s="87">
        <f t="shared" si="3"/>
        <v>414</v>
      </c>
      <c r="H101" s="40" t="s">
        <v>715</v>
      </c>
      <c r="I101" s="40" t="s">
        <v>70</v>
      </c>
      <c r="J101" s="119" t="s">
        <v>973</v>
      </c>
      <c r="K101" s="40" t="s">
        <v>71</v>
      </c>
      <c r="L101" s="40" t="s">
        <v>833</v>
      </c>
    </row>
    <row r="102" spans="1:12" ht="24" x14ac:dyDescent="0.25">
      <c r="A102" s="122">
        <v>99</v>
      </c>
      <c r="B102" s="54" t="s">
        <v>814</v>
      </c>
      <c r="C102" s="40" t="s">
        <v>695</v>
      </c>
      <c r="D102" s="83">
        <v>1</v>
      </c>
      <c r="E102" s="124" t="s">
        <v>831</v>
      </c>
      <c r="F102" s="126">
        <f>3000*3.5%+3000</f>
        <v>3105</v>
      </c>
      <c r="G102" s="87">
        <f t="shared" si="3"/>
        <v>3105</v>
      </c>
      <c r="H102" s="40" t="s">
        <v>715</v>
      </c>
      <c r="I102" s="40" t="s">
        <v>70</v>
      </c>
      <c r="J102" s="119" t="s">
        <v>973</v>
      </c>
      <c r="K102" s="40" t="s">
        <v>71</v>
      </c>
      <c r="L102" s="40" t="s">
        <v>833</v>
      </c>
    </row>
    <row r="103" spans="1:12" ht="24" x14ac:dyDescent="0.25">
      <c r="A103" s="122">
        <v>100</v>
      </c>
      <c r="B103" s="54" t="s">
        <v>815</v>
      </c>
      <c r="C103" s="40" t="s">
        <v>695</v>
      </c>
      <c r="D103" s="83">
        <v>1</v>
      </c>
      <c r="E103" s="124" t="s">
        <v>831</v>
      </c>
      <c r="F103" s="126">
        <f>4000*3.5%+4000</f>
        <v>4140</v>
      </c>
      <c r="G103" s="87">
        <f t="shared" si="3"/>
        <v>4140</v>
      </c>
      <c r="H103" s="40" t="s">
        <v>715</v>
      </c>
      <c r="I103" s="40" t="s">
        <v>70</v>
      </c>
      <c r="J103" s="119" t="s">
        <v>973</v>
      </c>
      <c r="K103" s="40" t="s">
        <v>71</v>
      </c>
      <c r="L103" s="40" t="s">
        <v>833</v>
      </c>
    </row>
    <row r="104" spans="1:12" ht="24" x14ac:dyDescent="0.25">
      <c r="A104" s="121">
        <v>101</v>
      </c>
      <c r="B104" s="54" t="s">
        <v>816</v>
      </c>
      <c r="C104" s="40" t="s">
        <v>695</v>
      </c>
      <c r="D104" s="83">
        <v>1</v>
      </c>
      <c r="E104" s="124" t="s">
        <v>831</v>
      </c>
      <c r="F104" s="126">
        <f>9000*3.5%+9000</f>
        <v>9315</v>
      </c>
      <c r="G104" s="87">
        <f t="shared" si="3"/>
        <v>9315</v>
      </c>
      <c r="H104" s="40" t="s">
        <v>715</v>
      </c>
      <c r="I104" s="40" t="s">
        <v>70</v>
      </c>
      <c r="J104" s="119" t="s">
        <v>973</v>
      </c>
      <c r="K104" s="40" t="s">
        <v>71</v>
      </c>
      <c r="L104" s="40" t="s">
        <v>833</v>
      </c>
    </row>
    <row r="105" spans="1:12" ht="24" x14ac:dyDescent="0.25">
      <c r="A105" s="122">
        <v>102</v>
      </c>
      <c r="B105" s="54" t="s">
        <v>817</v>
      </c>
      <c r="C105" s="40" t="s">
        <v>695</v>
      </c>
      <c r="D105" s="83">
        <v>1</v>
      </c>
      <c r="E105" s="124" t="s">
        <v>831</v>
      </c>
      <c r="F105" s="126">
        <f>1300*3.5%+1300</f>
        <v>1345.5</v>
      </c>
      <c r="G105" s="87">
        <f t="shared" si="3"/>
        <v>1345.5</v>
      </c>
      <c r="H105" s="40" t="s">
        <v>715</v>
      </c>
      <c r="I105" s="40" t="s">
        <v>70</v>
      </c>
      <c r="J105" s="119" t="s">
        <v>973</v>
      </c>
      <c r="K105" s="40" t="s">
        <v>71</v>
      </c>
      <c r="L105" s="40" t="s">
        <v>833</v>
      </c>
    </row>
    <row r="106" spans="1:12" ht="24" x14ac:dyDescent="0.25">
      <c r="A106" s="122">
        <v>103</v>
      </c>
      <c r="B106" s="54" t="s">
        <v>818</v>
      </c>
      <c r="C106" s="40" t="s">
        <v>695</v>
      </c>
      <c r="D106" s="83">
        <v>1</v>
      </c>
      <c r="E106" s="124" t="s">
        <v>12</v>
      </c>
      <c r="F106" s="126">
        <f>5000*3.5%+5000</f>
        <v>5175</v>
      </c>
      <c r="G106" s="87">
        <f t="shared" si="3"/>
        <v>5175</v>
      </c>
      <c r="H106" s="40" t="s">
        <v>715</v>
      </c>
      <c r="I106" s="40" t="s">
        <v>70</v>
      </c>
      <c r="J106" s="119" t="s">
        <v>973</v>
      </c>
      <c r="K106" s="40" t="s">
        <v>71</v>
      </c>
      <c r="L106" s="40" t="s">
        <v>833</v>
      </c>
    </row>
    <row r="107" spans="1:12" ht="24" x14ac:dyDescent="0.25">
      <c r="A107" s="121">
        <v>104</v>
      </c>
      <c r="B107" s="54" t="s">
        <v>819</v>
      </c>
      <c r="C107" s="40" t="s">
        <v>695</v>
      </c>
      <c r="D107" s="83">
        <v>1</v>
      </c>
      <c r="E107" s="124" t="s">
        <v>12</v>
      </c>
      <c r="F107" s="126">
        <f>6000*3.5%+6000</f>
        <v>6210</v>
      </c>
      <c r="G107" s="87">
        <f t="shared" si="3"/>
        <v>6210</v>
      </c>
      <c r="H107" s="40" t="s">
        <v>715</v>
      </c>
      <c r="I107" s="40" t="s">
        <v>70</v>
      </c>
      <c r="J107" s="119" t="s">
        <v>973</v>
      </c>
      <c r="K107" s="40" t="s">
        <v>71</v>
      </c>
      <c r="L107" s="40" t="s">
        <v>833</v>
      </c>
    </row>
    <row r="108" spans="1:12" ht="24" x14ac:dyDescent="0.25">
      <c r="A108" s="122">
        <v>105</v>
      </c>
      <c r="B108" s="54" t="s">
        <v>820</v>
      </c>
      <c r="C108" s="40" t="s">
        <v>695</v>
      </c>
      <c r="D108" s="83">
        <v>1</v>
      </c>
      <c r="E108" s="124" t="s">
        <v>12</v>
      </c>
      <c r="F108" s="126">
        <f>8500*3.5%+8500</f>
        <v>8797.5</v>
      </c>
      <c r="G108" s="87">
        <f t="shared" si="3"/>
        <v>8797.5</v>
      </c>
      <c r="H108" s="40" t="s">
        <v>715</v>
      </c>
      <c r="I108" s="40" t="s">
        <v>70</v>
      </c>
      <c r="J108" s="119" t="s">
        <v>973</v>
      </c>
      <c r="K108" s="40" t="s">
        <v>71</v>
      </c>
      <c r="L108" s="40" t="s">
        <v>833</v>
      </c>
    </row>
    <row r="109" spans="1:12" ht="24" x14ac:dyDescent="0.25">
      <c r="A109" s="122">
        <v>106</v>
      </c>
      <c r="B109" s="54" t="s">
        <v>821</v>
      </c>
      <c r="C109" s="40" t="s">
        <v>695</v>
      </c>
      <c r="D109" s="83">
        <v>1</v>
      </c>
      <c r="E109" s="124" t="s">
        <v>12</v>
      </c>
      <c r="F109" s="126">
        <f>12000*3.5%+12000</f>
        <v>12420</v>
      </c>
      <c r="G109" s="87">
        <f t="shared" si="3"/>
        <v>12420</v>
      </c>
      <c r="H109" s="40" t="s">
        <v>715</v>
      </c>
      <c r="I109" s="40" t="s">
        <v>70</v>
      </c>
      <c r="J109" s="119" t="s">
        <v>973</v>
      </c>
      <c r="K109" s="40" t="s">
        <v>71</v>
      </c>
      <c r="L109" s="40" t="s">
        <v>833</v>
      </c>
    </row>
    <row r="110" spans="1:12" ht="24" x14ac:dyDescent="0.25">
      <c r="A110" s="121">
        <v>107</v>
      </c>
      <c r="B110" s="70" t="s">
        <v>822</v>
      </c>
      <c r="C110" s="40" t="s">
        <v>695</v>
      </c>
      <c r="D110" s="83">
        <v>1</v>
      </c>
      <c r="E110" s="124" t="s">
        <v>12</v>
      </c>
      <c r="F110" s="126">
        <f>49000*3.5%+49000</f>
        <v>50715</v>
      </c>
      <c r="G110" s="87">
        <f t="shared" si="3"/>
        <v>50715</v>
      </c>
      <c r="H110" s="40" t="s">
        <v>715</v>
      </c>
      <c r="I110" s="40" t="s">
        <v>70</v>
      </c>
      <c r="J110" s="119" t="s">
        <v>973</v>
      </c>
      <c r="K110" s="40" t="s">
        <v>71</v>
      </c>
      <c r="L110" s="40" t="s">
        <v>833</v>
      </c>
    </row>
    <row r="111" spans="1:12" ht="24" x14ac:dyDescent="0.25">
      <c r="A111" s="122">
        <v>108</v>
      </c>
      <c r="B111" s="54" t="s">
        <v>823</v>
      </c>
      <c r="C111" s="40" t="s">
        <v>695</v>
      </c>
      <c r="D111" s="83">
        <v>1</v>
      </c>
      <c r="E111" s="124" t="s">
        <v>831</v>
      </c>
      <c r="F111" s="126">
        <f>7000*3.5%+7000</f>
        <v>7245</v>
      </c>
      <c r="G111" s="87">
        <f t="shared" si="3"/>
        <v>7245</v>
      </c>
      <c r="H111" s="40" t="s">
        <v>715</v>
      </c>
      <c r="I111" s="40" t="s">
        <v>70</v>
      </c>
      <c r="J111" s="119" t="s">
        <v>973</v>
      </c>
      <c r="K111" s="40" t="s">
        <v>71</v>
      </c>
      <c r="L111" s="40" t="s">
        <v>833</v>
      </c>
    </row>
    <row r="112" spans="1:12" ht="24" x14ac:dyDescent="0.25">
      <c r="A112" s="122">
        <v>109</v>
      </c>
      <c r="B112" s="54" t="s">
        <v>824</v>
      </c>
      <c r="C112" s="40" t="s">
        <v>695</v>
      </c>
      <c r="D112" s="83">
        <v>1</v>
      </c>
      <c r="E112" s="124" t="s">
        <v>831</v>
      </c>
      <c r="F112" s="126">
        <f>5500*3.5%+5500</f>
        <v>5692.5</v>
      </c>
      <c r="G112" s="87">
        <f t="shared" si="3"/>
        <v>5692.5</v>
      </c>
      <c r="H112" s="40" t="s">
        <v>715</v>
      </c>
      <c r="I112" s="40" t="s">
        <v>70</v>
      </c>
      <c r="J112" s="119" t="s">
        <v>973</v>
      </c>
      <c r="K112" s="40" t="s">
        <v>71</v>
      </c>
      <c r="L112" s="40" t="s">
        <v>833</v>
      </c>
    </row>
    <row r="113" spans="1:12" ht="24" x14ac:dyDescent="0.25">
      <c r="A113" s="121">
        <v>110</v>
      </c>
      <c r="B113" s="54" t="s">
        <v>825</v>
      </c>
      <c r="C113" s="40" t="s">
        <v>695</v>
      </c>
      <c r="D113" s="83">
        <v>1</v>
      </c>
      <c r="E113" s="124" t="s">
        <v>831</v>
      </c>
      <c r="F113" s="126">
        <f>2500*3.5%+2500</f>
        <v>2587.5</v>
      </c>
      <c r="G113" s="87">
        <f t="shared" si="3"/>
        <v>2587.5</v>
      </c>
      <c r="H113" s="40" t="s">
        <v>715</v>
      </c>
      <c r="I113" s="40" t="s">
        <v>70</v>
      </c>
      <c r="J113" s="119" t="s">
        <v>973</v>
      </c>
      <c r="K113" s="40" t="s">
        <v>71</v>
      </c>
      <c r="L113" s="40" t="s">
        <v>833</v>
      </c>
    </row>
    <row r="114" spans="1:12" ht="24" x14ac:dyDescent="0.25">
      <c r="A114" s="122">
        <v>111</v>
      </c>
      <c r="B114" s="54" t="s">
        <v>826</v>
      </c>
      <c r="C114" s="40" t="s">
        <v>695</v>
      </c>
      <c r="D114" s="83">
        <v>1</v>
      </c>
      <c r="E114" s="124" t="s">
        <v>831</v>
      </c>
      <c r="F114" s="126">
        <f>4500*3.5%+4500</f>
        <v>4657.5</v>
      </c>
      <c r="G114" s="87">
        <f t="shared" si="3"/>
        <v>4657.5</v>
      </c>
      <c r="H114" s="40" t="s">
        <v>715</v>
      </c>
      <c r="I114" s="40" t="s">
        <v>70</v>
      </c>
      <c r="J114" s="119" t="s">
        <v>973</v>
      </c>
      <c r="K114" s="40" t="s">
        <v>71</v>
      </c>
      <c r="L114" s="40" t="s">
        <v>833</v>
      </c>
    </row>
    <row r="115" spans="1:12" ht="24" x14ac:dyDescent="0.25">
      <c r="A115" s="122">
        <v>112</v>
      </c>
      <c r="B115" s="54" t="s">
        <v>827</v>
      </c>
      <c r="C115" s="40" t="s">
        <v>695</v>
      </c>
      <c r="D115" s="83">
        <v>1</v>
      </c>
      <c r="E115" s="124" t="s">
        <v>831</v>
      </c>
      <c r="F115" s="126">
        <f>8000*3.5%+8000</f>
        <v>8280</v>
      </c>
      <c r="G115" s="87">
        <f t="shared" si="3"/>
        <v>8280</v>
      </c>
      <c r="H115" s="40" t="s">
        <v>715</v>
      </c>
      <c r="I115" s="40" t="s">
        <v>70</v>
      </c>
      <c r="J115" s="119" t="s">
        <v>973</v>
      </c>
      <c r="K115" s="40" t="s">
        <v>71</v>
      </c>
      <c r="L115" s="40" t="s">
        <v>833</v>
      </c>
    </row>
    <row r="116" spans="1:12" ht="24" x14ac:dyDescent="0.25">
      <c r="A116" s="121">
        <v>113</v>
      </c>
      <c r="B116" s="54" t="s">
        <v>828</v>
      </c>
      <c r="C116" s="40" t="s">
        <v>695</v>
      </c>
      <c r="D116" s="83">
        <v>1</v>
      </c>
      <c r="E116" s="124" t="s">
        <v>830</v>
      </c>
      <c r="F116" s="126">
        <f>68000*3.5%+68000</f>
        <v>70380</v>
      </c>
      <c r="G116" s="87">
        <f t="shared" si="3"/>
        <v>70380</v>
      </c>
      <c r="H116" s="40" t="s">
        <v>715</v>
      </c>
      <c r="I116" s="40" t="s">
        <v>70</v>
      </c>
      <c r="J116" s="119" t="s">
        <v>973</v>
      </c>
      <c r="K116" s="40" t="s">
        <v>71</v>
      </c>
      <c r="L116" s="40" t="s">
        <v>833</v>
      </c>
    </row>
    <row r="117" spans="1:12" ht="24" x14ac:dyDescent="0.25">
      <c r="A117" s="122">
        <v>114</v>
      </c>
      <c r="B117" s="54" t="s">
        <v>829</v>
      </c>
      <c r="C117" s="40" t="s">
        <v>695</v>
      </c>
      <c r="D117" s="83">
        <v>1</v>
      </c>
      <c r="E117" s="124" t="s">
        <v>830</v>
      </c>
      <c r="F117" s="126">
        <f>85000*3.5%+85000</f>
        <v>87975</v>
      </c>
      <c r="G117" s="87">
        <f t="shared" si="3"/>
        <v>87975</v>
      </c>
      <c r="H117" s="40" t="s">
        <v>715</v>
      </c>
      <c r="I117" s="40" t="s">
        <v>70</v>
      </c>
      <c r="J117" s="119" t="s">
        <v>973</v>
      </c>
      <c r="K117" s="40" t="s">
        <v>71</v>
      </c>
      <c r="L117" s="40" t="s">
        <v>833</v>
      </c>
    </row>
  </sheetData>
  <mergeCells count="3">
    <mergeCell ref="A1:L1"/>
    <mergeCell ref="A2:D2"/>
    <mergeCell ref="H2:L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workbookViewId="0">
      <selection sqref="A1:L1"/>
    </sheetView>
  </sheetViews>
  <sheetFormatPr baseColWidth="10" defaultRowHeight="15" x14ac:dyDescent="0.25"/>
  <cols>
    <col min="1" max="1" width="7" customWidth="1"/>
    <col min="2" max="2" width="24.5703125" customWidth="1"/>
    <col min="5" max="5" width="8.42578125" customWidth="1"/>
    <col min="6" max="6" width="9.7109375" customWidth="1"/>
    <col min="12" max="12" width="23.5703125" customWidth="1"/>
  </cols>
  <sheetData>
    <row r="1" spans="1:12" ht="15.75" x14ac:dyDescent="0.25">
      <c r="A1" s="201" t="s">
        <v>1107</v>
      </c>
      <c r="B1" s="202"/>
      <c r="C1" s="202"/>
      <c r="D1" s="202"/>
      <c r="E1" s="202"/>
      <c r="F1" s="202"/>
      <c r="G1" s="202"/>
      <c r="H1" s="202"/>
      <c r="I1" s="202"/>
      <c r="J1" s="202"/>
      <c r="K1" s="202"/>
      <c r="L1" s="203"/>
    </row>
    <row r="2" spans="1:12" ht="15.75" x14ac:dyDescent="0.25">
      <c r="A2" s="208" t="s">
        <v>974</v>
      </c>
      <c r="B2" s="209"/>
      <c r="C2" s="209"/>
      <c r="D2" s="209"/>
      <c r="E2" s="209"/>
      <c r="F2" s="92"/>
      <c r="G2" s="92"/>
      <c r="H2" s="210" t="s">
        <v>975</v>
      </c>
      <c r="I2" s="210"/>
      <c r="J2" s="210"/>
      <c r="K2" s="210"/>
      <c r="L2" s="211"/>
    </row>
    <row r="3" spans="1:12" ht="22.5" x14ac:dyDescent="0.25">
      <c r="A3" s="53" t="s">
        <v>0</v>
      </c>
      <c r="B3" s="43" t="s">
        <v>962</v>
      </c>
      <c r="C3" s="43" t="s">
        <v>2</v>
      </c>
      <c r="D3" s="43" t="s">
        <v>4</v>
      </c>
      <c r="E3" s="42" t="s">
        <v>965</v>
      </c>
      <c r="F3" s="42" t="s">
        <v>963</v>
      </c>
      <c r="G3" s="42" t="s">
        <v>971</v>
      </c>
      <c r="H3" s="42" t="s">
        <v>972</v>
      </c>
      <c r="I3" s="42" t="s">
        <v>970</v>
      </c>
      <c r="J3" s="42" t="s">
        <v>926</v>
      </c>
      <c r="K3" s="42" t="s">
        <v>8</v>
      </c>
      <c r="L3" s="60" t="s">
        <v>10</v>
      </c>
    </row>
    <row r="4" spans="1:12" ht="60" x14ac:dyDescent="0.25">
      <c r="A4" s="49">
        <v>1</v>
      </c>
      <c r="B4" s="51" t="s">
        <v>1072</v>
      </c>
      <c r="C4" s="51" t="s">
        <v>976</v>
      </c>
      <c r="D4" s="51" t="s">
        <v>977</v>
      </c>
      <c r="E4" s="51">
        <v>1</v>
      </c>
      <c r="F4" s="64">
        <v>40000000</v>
      </c>
      <c r="G4" s="64">
        <f>E4*F4</f>
        <v>40000000</v>
      </c>
      <c r="H4" s="51" t="s">
        <v>835</v>
      </c>
      <c r="I4" s="51" t="s">
        <v>836</v>
      </c>
      <c r="J4" s="65" t="s">
        <v>979</v>
      </c>
      <c r="K4" s="51" t="s">
        <v>71</v>
      </c>
      <c r="L4" s="51" t="s">
        <v>978</v>
      </c>
    </row>
    <row r="5" spans="1:12" x14ac:dyDescent="0.25">
      <c r="A5" s="1"/>
      <c r="B5" s="1" t="s">
        <v>925</v>
      </c>
      <c r="C5" s="1"/>
      <c r="D5" s="1"/>
      <c r="E5" s="1"/>
      <c r="F5" s="1"/>
      <c r="G5" s="37">
        <v>40000000</v>
      </c>
      <c r="H5" s="1"/>
      <c r="I5" s="1"/>
      <c r="J5" s="1"/>
      <c r="K5" s="1"/>
      <c r="L5" s="1"/>
    </row>
    <row r="6" spans="1:12" x14ac:dyDescent="0.25">
      <c r="A6" s="14"/>
      <c r="B6" s="14"/>
      <c r="C6" s="14"/>
      <c r="D6" s="14"/>
      <c r="E6" s="14"/>
      <c r="F6" s="14"/>
      <c r="G6" s="14"/>
      <c r="H6" s="14"/>
      <c r="I6" s="14"/>
      <c r="J6" s="14"/>
      <c r="K6" s="14"/>
      <c r="L6" s="14"/>
    </row>
  </sheetData>
  <mergeCells count="3">
    <mergeCell ref="A1:L1"/>
    <mergeCell ref="A2:E2"/>
    <mergeCell ref="H2:L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83"/>
  <sheetViews>
    <sheetView workbookViewId="0">
      <selection activeCell="I97" sqref="I97"/>
    </sheetView>
  </sheetViews>
  <sheetFormatPr baseColWidth="10" defaultRowHeight="15" x14ac:dyDescent="0.25"/>
  <cols>
    <col min="1" max="1" width="7.140625" customWidth="1"/>
    <col min="2" max="2" width="23.28515625" customWidth="1"/>
    <col min="3" max="3" width="22.28515625" customWidth="1"/>
    <col min="4" max="4" width="8.85546875" customWidth="1"/>
    <col min="5" max="5" width="9.28515625" customWidth="1"/>
    <col min="12" max="12" width="17.140625" customWidth="1"/>
  </cols>
  <sheetData>
    <row r="2" spans="1:12" ht="15.75" x14ac:dyDescent="0.25">
      <c r="A2" s="201" t="s">
        <v>1108</v>
      </c>
      <c r="B2" s="202"/>
      <c r="C2" s="202"/>
      <c r="D2" s="202"/>
      <c r="E2" s="202"/>
      <c r="F2" s="202"/>
      <c r="G2" s="202"/>
      <c r="H2" s="202"/>
      <c r="I2" s="202"/>
      <c r="J2" s="202"/>
      <c r="K2" s="202"/>
      <c r="L2" s="203"/>
    </row>
    <row r="3" spans="1:12" ht="15.75" x14ac:dyDescent="0.25">
      <c r="A3" s="201" t="s">
        <v>981</v>
      </c>
      <c r="B3" s="212"/>
      <c r="C3" s="212"/>
      <c r="D3" s="212"/>
      <c r="E3" s="93"/>
      <c r="F3" s="93"/>
      <c r="G3" s="93"/>
      <c r="H3" s="93"/>
      <c r="I3" s="212" t="s">
        <v>980</v>
      </c>
      <c r="J3" s="212"/>
      <c r="K3" s="212"/>
      <c r="L3" s="213"/>
    </row>
    <row r="4" spans="1:12" ht="45" x14ac:dyDescent="0.25">
      <c r="A4" s="16" t="s">
        <v>0</v>
      </c>
      <c r="B4" s="16" t="s">
        <v>1</v>
      </c>
      <c r="C4" s="17" t="s">
        <v>2</v>
      </c>
      <c r="D4" s="16" t="s">
        <v>3</v>
      </c>
      <c r="E4" s="16" t="s">
        <v>4</v>
      </c>
      <c r="F4" s="16" t="s">
        <v>352</v>
      </c>
      <c r="G4" s="18" t="s">
        <v>9</v>
      </c>
      <c r="H4" s="16" t="s">
        <v>6</v>
      </c>
      <c r="I4" s="16" t="s">
        <v>7</v>
      </c>
      <c r="J4" s="16" t="s">
        <v>926</v>
      </c>
      <c r="K4" s="16" t="s">
        <v>8</v>
      </c>
      <c r="L4" s="16" t="s">
        <v>10</v>
      </c>
    </row>
    <row r="5" spans="1:12" ht="33.75" x14ac:dyDescent="0.25">
      <c r="A5" s="100">
        <v>1</v>
      </c>
      <c r="B5" s="3" t="s">
        <v>165</v>
      </c>
      <c r="C5" s="7" t="s">
        <v>1143</v>
      </c>
      <c r="D5" s="9">
        <v>1</v>
      </c>
      <c r="E5" s="9" t="s">
        <v>12</v>
      </c>
      <c r="F5" s="130">
        <v>5403</v>
      </c>
      <c r="G5" s="131">
        <f t="shared" ref="G5:G31" si="0">D5*F5</f>
        <v>5403</v>
      </c>
      <c r="H5" s="3" t="s">
        <v>835</v>
      </c>
      <c r="I5" s="7" t="s">
        <v>261</v>
      </c>
      <c r="J5" s="132" t="s">
        <v>979</v>
      </c>
      <c r="K5" s="3" t="s">
        <v>71</v>
      </c>
      <c r="L5" s="3" t="s">
        <v>166</v>
      </c>
    </row>
    <row r="6" spans="1:12" ht="23.25" customHeight="1" x14ac:dyDescent="0.25">
      <c r="A6" s="100">
        <v>2</v>
      </c>
      <c r="B6" s="3" t="s">
        <v>167</v>
      </c>
      <c r="C6" s="7" t="s">
        <v>1143</v>
      </c>
      <c r="D6" s="9">
        <v>1</v>
      </c>
      <c r="E6" s="9" t="s">
        <v>12</v>
      </c>
      <c r="F6" s="130">
        <v>189</v>
      </c>
      <c r="G6" s="131">
        <f t="shared" si="0"/>
        <v>189</v>
      </c>
      <c r="H6" s="3" t="s">
        <v>835</v>
      </c>
      <c r="I6" s="7" t="s">
        <v>261</v>
      </c>
      <c r="J6" s="132" t="s">
        <v>979</v>
      </c>
      <c r="K6" s="3" t="s">
        <v>71</v>
      </c>
      <c r="L6" s="3" t="s">
        <v>168</v>
      </c>
    </row>
    <row r="7" spans="1:12" ht="33.75" x14ac:dyDescent="0.25">
      <c r="A7" s="100">
        <v>3</v>
      </c>
      <c r="B7" s="3" t="s">
        <v>169</v>
      </c>
      <c r="C7" s="7" t="s">
        <v>1143</v>
      </c>
      <c r="D7" s="9">
        <v>1</v>
      </c>
      <c r="E7" s="9" t="s">
        <v>171</v>
      </c>
      <c r="F7" s="130">
        <v>1647</v>
      </c>
      <c r="G7" s="131">
        <f t="shared" si="0"/>
        <v>1647</v>
      </c>
      <c r="H7" s="3" t="s">
        <v>835</v>
      </c>
      <c r="I7" s="7" t="s">
        <v>261</v>
      </c>
      <c r="J7" s="132" t="s">
        <v>979</v>
      </c>
      <c r="K7" s="3" t="s">
        <v>71</v>
      </c>
      <c r="L7" s="3" t="s">
        <v>170</v>
      </c>
    </row>
    <row r="8" spans="1:12" ht="33.75" x14ac:dyDescent="0.25">
      <c r="A8" s="100">
        <v>4</v>
      </c>
      <c r="B8" s="3" t="s">
        <v>172</v>
      </c>
      <c r="C8" s="7" t="s">
        <v>1143</v>
      </c>
      <c r="D8" s="9">
        <v>1</v>
      </c>
      <c r="E8" s="9" t="s">
        <v>171</v>
      </c>
      <c r="F8" s="130">
        <v>4155</v>
      </c>
      <c r="G8" s="131">
        <f t="shared" si="0"/>
        <v>4155</v>
      </c>
      <c r="H8" s="3" t="s">
        <v>835</v>
      </c>
      <c r="I8" s="7" t="s">
        <v>261</v>
      </c>
      <c r="J8" s="132" t="s">
        <v>979</v>
      </c>
      <c r="K8" s="3" t="s">
        <v>71</v>
      </c>
      <c r="L8" s="3" t="s">
        <v>173</v>
      </c>
    </row>
    <row r="9" spans="1:12" ht="33.75" x14ac:dyDescent="0.25">
      <c r="A9" s="100">
        <v>5</v>
      </c>
      <c r="B9" s="3" t="s">
        <v>174</v>
      </c>
      <c r="C9" s="7" t="s">
        <v>1143</v>
      </c>
      <c r="D9" s="9">
        <v>1</v>
      </c>
      <c r="E9" s="9" t="s">
        <v>12</v>
      </c>
      <c r="F9" s="130">
        <v>390</v>
      </c>
      <c r="G9" s="131">
        <f t="shared" si="0"/>
        <v>390</v>
      </c>
      <c r="H9" s="3" t="s">
        <v>835</v>
      </c>
      <c r="I9" s="7" t="s">
        <v>261</v>
      </c>
      <c r="J9" s="132" t="s">
        <v>979</v>
      </c>
      <c r="K9" s="3" t="s">
        <v>71</v>
      </c>
      <c r="L9" s="3" t="s">
        <v>175</v>
      </c>
    </row>
    <row r="10" spans="1:12" ht="33.75" x14ac:dyDescent="0.25">
      <c r="A10" s="100">
        <v>6</v>
      </c>
      <c r="B10" s="3" t="s">
        <v>176</v>
      </c>
      <c r="C10" s="7" t="s">
        <v>1143</v>
      </c>
      <c r="D10" s="9">
        <v>1</v>
      </c>
      <c r="E10" s="9" t="s">
        <v>12</v>
      </c>
      <c r="F10" s="130">
        <v>389</v>
      </c>
      <c r="G10" s="131">
        <f t="shared" si="0"/>
        <v>389</v>
      </c>
      <c r="H10" s="3" t="s">
        <v>835</v>
      </c>
      <c r="I10" s="7" t="s">
        <v>261</v>
      </c>
      <c r="J10" s="132" t="s">
        <v>979</v>
      </c>
      <c r="K10" s="3" t="s">
        <v>71</v>
      </c>
      <c r="L10" s="3" t="s">
        <v>177</v>
      </c>
    </row>
    <row r="11" spans="1:12" ht="33.75" x14ac:dyDescent="0.25">
      <c r="A11" s="100">
        <v>7</v>
      </c>
      <c r="B11" s="3" t="s">
        <v>178</v>
      </c>
      <c r="C11" s="7" t="s">
        <v>1143</v>
      </c>
      <c r="D11" s="9">
        <v>1</v>
      </c>
      <c r="E11" s="9" t="s">
        <v>12</v>
      </c>
      <c r="F11" s="130">
        <v>5403</v>
      </c>
      <c r="G11" s="131">
        <f t="shared" si="0"/>
        <v>5403</v>
      </c>
      <c r="H11" s="3" t="s">
        <v>835</v>
      </c>
      <c r="I11" s="7" t="s">
        <v>261</v>
      </c>
      <c r="J11" s="132" t="s">
        <v>979</v>
      </c>
      <c r="K11" s="3" t="s">
        <v>71</v>
      </c>
      <c r="L11" s="3" t="s">
        <v>179</v>
      </c>
    </row>
    <row r="12" spans="1:12" ht="33.75" x14ac:dyDescent="0.25">
      <c r="A12" s="100">
        <v>8</v>
      </c>
      <c r="B12" s="133" t="s">
        <v>202</v>
      </c>
      <c r="C12" s="7" t="s">
        <v>1143</v>
      </c>
      <c r="D12" s="9">
        <v>1</v>
      </c>
      <c r="E12" s="9" t="s">
        <v>12</v>
      </c>
      <c r="F12" s="130">
        <v>324</v>
      </c>
      <c r="G12" s="131">
        <f t="shared" si="0"/>
        <v>324</v>
      </c>
      <c r="H12" s="3" t="s">
        <v>835</v>
      </c>
      <c r="I12" s="7" t="s">
        <v>261</v>
      </c>
      <c r="J12" s="132" t="s">
        <v>979</v>
      </c>
      <c r="K12" s="3" t="s">
        <v>71</v>
      </c>
      <c r="L12" s="3" t="s">
        <v>203</v>
      </c>
    </row>
    <row r="13" spans="1:12" ht="33.75" x14ac:dyDescent="0.25">
      <c r="A13" s="100">
        <v>9</v>
      </c>
      <c r="B13" s="3" t="s">
        <v>224</v>
      </c>
      <c r="C13" s="7" t="s">
        <v>1143</v>
      </c>
      <c r="D13" s="9">
        <v>1</v>
      </c>
      <c r="E13" s="9" t="s">
        <v>171</v>
      </c>
      <c r="F13" s="130">
        <v>8404</v>
      </c>
      <c r="G13" s="131">
        <f t="shared" si="0"/>
        <v>8404</v>
      </c>
      <c r="H13" s="3" t="s">
        <v>835</v>
      </c>
      <c r="I13" s="7" t="s">
        <v>261</v>
      </c>
      <c r="J13" s="132" t="s">
        <v>979</v>
      </c>
      <c r="K13" s="3" t="s">
        <v>71</v>
      </c>
      <c r="L13" s="3" t="s">
        <v>180</v>
      </c>
    </row>
    <row r="14" spans="1:12" ht="33.75" x14ac:dyDescent="0.25">
      <c r="A14" s="100">
        <v>10</v>
      </c>
      <c r="B14" s="3" t="s">
        <v>181</v>
      </c>
      <c r="C14" s="7" t="s">
        <v>1143</v>
      </c>
      <c r="D14" s="9">
        <v>1</v>
      </c>
      <c r="E14" s="9" t="s">
        <v>12</v>
      </c>
      <c r="F14" s="130">
        <v>3841</v>
      </c>
      <c r="G14" s="131">
        <f t="shared" si="0"/>
        <v>3841</v>
      </c>
      <c r="H14" s="3" t="s">
        <v>835</v>
      </c>
      <c r="I14" s="7" t="s">
        <v>261</v>
      </c>
      <c r="J14" s="132" t="s">
        <v>979</v>
      </c>
      <c r="K14" s="3" t="s">
        <v>71</v>
      </c>
      <c r="L14" s="3" t="s">
        <v>182</v>
      </c>
    </row>
    <row r="15" spans="1:12" ht="33.75" x14ac:dyDescent="0.25">
      <c r="A15" s="100">
        <v>11</v>
      </c>
      <c r="B15" s="3" t="s">
        <v>183</v>
      </c>
      <c r="C15" s="7" t="s">
        <v>1143</v>
      </c>
      <c r="D15" s="9">
        <v>1</v>
      </c>
      <c r="E15" s="9" t="s">
        <v>171</v>
      </c>
      <c r="F15" s="130">
        <v>43222</v>
      </c>
      <c r="G15" s="131">
        <f t="shared" si="0"/>
        <v>43222</v>
      </c>
      <c r="H15" s="3" t="s">
        <v>835</v>
      </c>
      <c r="I15" s="7" t="s">
        <v>261</v>
      </c>
      <c r="J15" s="132" t="s">
        <v>979</v>
      </c>
      <c r="K15" s="3" t="s">
        <v>71</v>
      </c>
      <c r="L15" s="3" t="s">
        <v>204</v>
      </c>
    </row>
    <row r="16" spans="1:12" ht="33.75" x14ac:dyDescent="0.25">
      <c r="A16" s="100">
        <v>12</v>
      </c>
      <c r="B16" s="3" t="s">
        <v>225</v>
      </c>
      <c r="C16" s="7" t="s">
        <v>1143</v>
      </c>
      <c r="D16" s="9">
        <v>1</v>
      </c>
      <c r="E16" s="9" t="s">
        <v>171</v>
      </c>
      <c r="F16" s="130">
        <v>168000</v>
      </c>
      <c r="G16" s="131">
        <f t="shared" si="0"/>
        <v>168000</v>
      </c>
      <c r="H16" s="3" t="s">
        <v>835</v>
      </c>
      <c r="I16" s="7" t="s">
        <v>261</v>
      </c>
      <c r="J16" s="132" t="s">
        <v>979</v>
      </c>
      <c r="K16" s="3" t="s">
        <v>71</v>
      </c>
      <c r="L16" s="3" t="s">
        <v>205</v>
      </c>
    </row>
    <row r="17" spans="1:12" ht="33.75" x14ac:dyDescent="0.25">
      <c r="A17" s="100">
        <v>13</v>
      </c>
      <c r="B17" s="3" t="s">
        <v>184</v>
      </c>
      <c r="C17" s="7" t="s">
        <v>1143</v>
      </c>
      <c r="D17" s="9">
        <v>1</v>
      </c>
      <c r="E17" s="9" t="s">
        <v>12</v>
      </c>
      <c r="F17" s="130">
        <v>3621</v>
      </c>
      <c r="G17" s="131">
        <f t="shared" si="0"/>
        <v>3621</v>
      </c>
      <c r="H17" s="3" t="s">
        <v>835</v>
      </c>
      <c r="I17" s="7" t="s">
        <v>261</v>
      </c>
      <c r="J17" s="132" t="s">
        <v>979</v>
      </c>
      <c r="K17" s="3" t="s">
        <v>71</v>
      </c>
      <c r="L17" s="3" t="s">
        <v>185</v>
      </c>
    </row>
    <row r="18" spans="1:12" ht="33.75" x14ac:dyDescent="0.25">
      <c r="A18" s="100">
        <v>14</v>
      </c>
      <c r="B18" s="3" t="s">
        <v>186</v>
      </c>
      <c r="C18" s="7" t="s">
        <v>1143</v>
      </c>
      <c r="D18" s="9">
        <v>1</v>
      </c>
      <c r="E18" s="9" t="s">
        <v>226</v>
      </c>
      <c r="F18" s="130">
        <v>78039</v>
      </c>
      <c r="G18" s="131">
        <f t="shared" si="0"/>
        <v>78039</v>
      </c>
      <c r="H18" s="3" t="s">
        <v>835</v>
      </c>
      <c r="I18" s="7" t="s">
        <v>261</v>
      </c>
      <c r="J18" s="132" t="s">
        <v>979</v>
      </c>
      <c r="K18" s="3" t="s">
        <v>71</v>
      </c>
      <c r="L18" s="3" t="s">
        <v>206</v>
      </c>
    </row>
    <row r="19" spans="1:12" ht="33.75" x14ac:dyDescent="0.25">
      <c r="A19" s="100">
        <v>15</v>
      </c>
      <c r="B19" s="3" t="s">
        <v>187</v>
      </c>
      <c r="C19" s="7" t="s">
        <v>1143</v>
      </c>
      <c r="D19" s="9">
        <v>1</v>
      </c>
      <c r="E19" s="9" t="s">
        <v>12</v>
      </c>
      <c r="F19" s="130">
        <v>2581</v>
      </c>
      <c r="G19" s="131">
        <f t="shared" si="0"/>
        <v>2581</v>
      </c>
      <c r="H19" s="3" t="s">
        <v>835</v>
      </c>
      <c r="I19" s="7" t="s">
        <v>261</v>
      </c>
      <c r="J19" s="132" t="s">
        <v>979</v>
      </c>
      <c r="K19" s="3" t="s">
        <v>71</v>
      </c>
      <c r="L19" s="3" t="s">
        <v>188</v>
      </c>
    </row>
    <row r="20" spans="1:12" ht="33.75" x14ac:dyDescent="0.25">
      <c r="A20" s="100">
        <v>16</v>
      </c>
      <c r="B20" s="3" t="s">
        <v>189</v>
      </c>
      <c r="C20" s="7" t="s">
        <v>1143</v>
      </c>
      <c r="D20" s="9">
        <v>1</v>
      </c>
      <c r="E20" s="9" t="s">
        <v>171</v>
      </c>
      <c r="F20" s="130">
        <v>534</v>
      </c>
      <c r="G20" s="131">
        <f t="shared" si="0"/>
        <v>534</v>
      </c>
      <c r="H20" s="3" t="s">
        <v>835</v>
      </c>
      <c r="I20" s="7" t="s">
        <v>261</v>
      </c>
      <c r="J20" s="132" t="s">
        <v>979</v>
      </c>
      <c r="K20" s="3" t="s">
        <v>71</v>
      </c>
      <c r="L20" s="3" t="s">
        <v>190</v>
      </c>
    </row>
    <row r="21" spans="1:12" ht="33.75" x14ac:dyDescent="0.25">
      <c r="A21" s="100">
        <v>17</v>
      </c>
      <c r="B21" s="3" t="s">
        <v>191</v>
      </c>
      <c r="C21" s="7" t="s">
        <v>1143</v>
      </c>
      <c r="D21" s="9">
        <v>1</v>
      </c>
      <c r="E21" s="9" t="s">
        <v>171</v>
      </c>
      <c r="F21" s="130">
        <v>12006</v>
      </c>
      <c r="G21" s="131">
        <f t="shared" si="0"/>
        <v>12006</v>
      </c>
      <c r="H21" s="3" t="s">
        <v>835</v>
      </c>
      <c r="I21" s="7" t="s">
        <v>261</v>
      </c>
      <c r="J21" s="132" t="s">
        <v>979</v>
      </c>
      <c r="K21" s="3" t="s">
        <v>71</v>
      </c>
      <c r="L21" s="3" t="s">
        <v>207</v>
      </c>
    </row>
    <row r="22" spans="1:12" ht="33.75" x14ac:dyDescent="0.25">
      <c r="A22" s="100">
        <v>18</v>
      </c>
      <c r="B22" s="3" t="s">
        <v>192</v>
      </c>
      <c r="C22" s="7" t="s">
        <v>1143</v>
      </c>
      <c r="D22" s="9">
        <v>1</v>
      </c>
      <c r="E22" s="9" t="s">
        <v>194</v>
      </c>
      <c r="F22" s="130">
        <v>13206</v>
      </c>
      <c r="G22" s="131">
        <f t="shared" si="0"/>
        <v>13206</v>
      </c>
      <c r="H22" s="3" t="s">
        <v>835</v>
      </c>
      <c r="I22" s="7" t="s">
        <v>261</v>
      </c>
      <c r="J22" s="132" t="s">
        <v>979</v>
      </c>
      <c r="K22" s="3" t="s">
        <v>71</v>
      </c>
      <c r="L22" s="3" t="s">
        <v>193</v>
      </c>
    </row>
    <row r="23" spans="1:12" ht="33.75" x14ac:dyDescent="0.25">
      <c r="A23" s="100">
        <v>19</v>
      </c>
      <c r="B23" s="3" t="s">
        <v>195</v>
      </c>
      <c r="C23" s="7" t="s">
        <v>1143</v>
      </c>
      <c r="D23" s="9">
        <v>1</v>
      </c>
      <c r="E23" s="9" t="s">
        <v>194</v>
      </c>
      <c r="F23" s="130">
        <v>14527</v>
      </c>
      <c r="G23" s="131">
        <f t="shared" si="0"/>
        <v>14527</v>
      </c>
      <c r="H23" s="3" t="s">
        <v>835</v>
      </c>
      <c r="I23" s="7" t="s">
        <v>261</v>
      </c>
      <c r="J23" s="132" t="s">
        <v>979</v>
      </c>
      <c r="K23" s="3" t="s">
        <v>71</v>
      </c>
      <c r="L23" s="3" t="s">
        <v>196</v>
      </c>
    </row>
    <row r="24" spans="1:12" ht="33.75" x14ac:dyDescent="0.25">
      <c r="A24" s="100">
        <v>20</v>
      </c>
      <c r="B24" s="3" t="s">
        <v>197</v>
      </c>
      <c r="C24" s="7" t="s">
        <v>1143</v>
      </c>
      <c r="D24" s="9">
        <v>1</v>
      </c>
      <c r="E24" s="9" t="s">
        <v>12</v>
      </c>
      <c r="F24" s="130">
        <v>180</v>
      </c>
      <c r="G24" s="131">
        <f t="shared" si="0"/>
        <v>180</v>
      </c>
      <c r="H24" s="3" t="s">
        <v>835</v>
      </c>
      <c r="I24" s="7" t="s">
        <v>261</v>
      </c>
      <c r="J24" s="132" t="s">
        <v>979</v>
      </c>
      <c r="K24" s="3" t="s">
        <v>71</v>
      </c>
      <c r="L24" s="3" t="s">
        <v>198</v>
      </c>
    </row>
    <row r="25" spans="1:12" ht="33.75" x14ac:dyDescent="0.25">
      <c r="A25" s="100">
        <v>21</v>
      </c>
      <c r="B25" s="3" t="s">
        <v>199</v>
      </c>
      <c r="C25" s="7" t="s">
        <v>1143</v>
      </c>
      <c r="D25" s="9">
        <v>1</v>
      </c>
      <c r="E25" s="9" t="s">
        <v>12</v>
      </c>
      <c r="F25" s="130">
        <v>240</v>
      </c>
      <c r="G25" s="131">
        <f t="shared" si="0"/>
        <v>240</v>
      </c>
      <c r="H25" s="3" t="s">
        <v>835</v>
      </c>
      <c r="I25" s="7" t="s">
        <v>261</v>
      </c>
      <c r="J25" s="132" t="s">
        <v>979</v>
      </c>
      <c r="K25" s="3" t="s">
        <v>71</v>
      </c>
      <c r="L25" s="3" t="s">
        <v>200</v>
      </c>
    </row>
    <row r="26" spans="1:12" ht="33.75" x14ac:dyDescent="0.25">
      <c r="A26" s="100">
        <v>22</v>
      </c>
      <c r="B26" s="3" t="s">
        <v>201</v>
      </c>
      <c r="C26" s="7" t="s">
        <v>1143</v>
      </c>
      <c r="D26" s="9">
        <v>1</v>
      </c>
      <c r="E26" s="9" t="s">
        <v>12</v>
      </c>
      <c r="F26" s="130">
        <v>7245</v>
      </c>
      <c r="G26" s="131">
        <f t="shared" si="0"/>
        <v>7245</v>
      </c>
      <c r="H26" s="3" t="s">
        <v>835</v>
      </c>
      <c r="I26" s="7" t="s">
        <v>261</v>
      </c>
      <c r="J26" s="132" t="s">
        <v>979</v>
      </c>
      <c r="K26" s="3" t="s">
        <v>71</v>
      </c>
      <c r="L26" s="3"/>
    </row>
    <row r="27" spans="1:12" ht="33.75" x14ac:dyDescent="0.25">
      <c r="A27" s="100">
        <v>23</v>
      </c>
      <c r="B27" s="3" t="s">
        <v>216</v>
      </c>
      <c r="C27" s="7" t="s">
        <v>1143</v>
      </c>
      <c r="D27" s="9">
        <v>1</v>
      </c>
      <c r="E27" s="9" t="s">
        <v>12</v>
      </c>
      <c r="F27" s="130">
        <v>20699</v>
      </c>
      <c r="G27" s="131">
        <f t="shared" si="0"/>
        <v>20699</v>
      </c>
      <c r="H27" s="3" t="s">
        <v>835</v>
      </c>
      <c r="I27" s="7" t="s">
        <v>261</v>
      </c>
      <c r="J27" s="132" t="s">
        <v>979</v>
      </c>
      <c r="K27" s="3" t="s">
        <v>71</v>
      </c>
      <c r="L27" s="3" t="s">
        <v>208</v>
      </c>
    </row>
    <row r="28" spans="1:12" ht="33.75" x14ac:dyDescent="0.25">
      <c r="A28" s="100">
        <v>24</v>
      </c>
      <c r="B28" s="3" t="s">
        <v>209</v>
      </c>
      <c r="C28" s="7" t="s">
        <v>1143</v>
      </c>
      <c r="D28" s="9">
        <v>1</v>
      </c>
      <c r="E28" s="9" t="s">
        <v>12</v>
      </c>
      <c r="F28" s="130">
        <v>2069</v>
      </c>
      <c r="G28" s="131">
        <f t="shared" si="0"/>
        <v>2069</v>
      </c>
      <c r="H28" s="3" t="s">
        <v>835</v>
      </c>
      <c r="I28" s="7" t="s">
        <v>261</v>
      </c>
      <c r="J28" s="132" t="s">
        <v>979</v>
      </c>
      <c r="K28" s="3" t="s">
        <v>71</v>
      </c>
      <c r="L28" s="3" t="s">
        <v>210</v>
      </c>
    </row>
    <row r="29" spans="1:12" ht="33.75" x14ac:dyDescent="0.25">
      <c r="A29" s="100">
        <v>25</v>
      </c>
      <c r="B29" s="3" t="s">
        <v>211</v>
      </c>
      <c r="C29" s="7" t="s">
        <v>1143</v>
      </c>
      <c r="D29" s="9">
        <v>1</v>
      </c>
      <c r="E29" s="9" t="s">
        <v>212</v>
      </c>
      <c r="F29" s="130">
        <v>8765</v>
      </c>
      <c r="G29" s="131">
        <f t="shared" si="0"/>
        <v>8765</v>
      </c>
      <c r="H29" s="3" t="s">
        <v>835</v>
      </c>
      <c r="I29" s="7" t="s">
        <v>261</v>
      </c>
      <c r="J29" s="132" t="s">
        <v>979</v>
      </c>
      <c r="K29" s="3" t="s">
        <v>71</v>
      </c>
      <c r="L29" s="3" t="s">
        <v>212</v>
      </c>
    </row>
    <row r="30" spans="1:12" ht="33.75" x14ac:dyDescent="0.25">
      <c r="A30" s="100">
        <v>26</v>
      </c>
      <c r="B30" s="3" t="s">
        <v>213</v>
      </c>
      <c r="C30" s="7" t="s">
        <v>1143</v>
      </c>
      <c r="D30" s="9">
        <v>1</v>
      </c>
      <c r="E30" s="9" t="s">
        <v>171</v>
      </c>
      <c r="F30" s="130">
        <v>930</v>
      </c>
      <c r="G30" s="131">
        <f t="shared" si="0"/>
        <v>930</v>
      </c>
      <c r="H30" s="3" t="s">
        <v>835</v>
      </c>
      <c r="I30" s="7" t="s">
        <v>261</v>
      </c>
      <c r="J30" s="132" t="s">
        <v>979</v>
      </c>
      <c r="K30" s="3" t="s">
        <v>71</v>
      </c>
      <c r="L30" s="3" t="s">
        <v>171</v>
      </c>
    </row>
    <row r="31" spans="1:12" ht="33.75" x14ac:dyDescent="0.25">
      <c r="A31" s="100">
        <v>27</v>
      </c>
      <c r="B31" s="3" t="s">
        <v>214</v>
      </c>
      <c r="C31" s="7" t="s">
        <v>1143</v>
      </c>
      <c r="D31" s="9">
        <v>1</v>
      </c>
      <c r="E31" s="9" t="s">
        <v>215</v>
      </c>
      <c r="F31" s="130">
        <v>3622</v>
      </c>
      <c r="G31" s="131">
        <f t="shared" si="0"/>
        <v>3622</v>
      </c>
      <c r="H31" s="3" t="s">
        <v>835</v>
      </c>
      <c r="I31" s="7" t="s">
        <v>261</v>
      </c>
      <c r="J31" s="132" t="s">
        <v>979</v>
      </c>
      <c r="K31" s="3" t="s">
        <v>71</v>
      </c>
      <c r="L31" s="3" t="s">
        <v>223</v>
      </c>
    </row>
    <row r="32" spans="1:12" ht="33.75" x14ac:dyDescent="0.25">
      <c r="A32" s="100">
        <v>28</v>
      </c>
      <c r="B32" s="3" t="s">
        <v>221</v>
      </c>
      <c r="C32" s="7" t="s">
        <v>1143</v>
      </c>
      <c r="D32" s="9">
        <v>1</v>
      </c>
      <c r="E32" s="9" t="s">
        <v>222</v>
      </c>
      <c r="F32" s="130" t="s">
        <v>13</v>
      </c>
      <c r="G32" s="131">
        <v>0</v>
      </c>
      <c r="H32" s="3" t="s">
        <v>835</v>
      </c>
      <c r="I32" s="7" t="s">
        <v>261</v>
      </c>
      <c r="J32" s="132" t="s">
        <v>979</v>
      </c>
      <c r="K32" s="3" t="s">
        <v>71</v>
      </c>
      <c r="L32" s="3" t="s">
        <v>212</v>
      </c>
    </row>
    <row r="33" spans="1:12" ht="33.75" x14ac:dyDescent="0.25">
      <c r="A33" s="100">
        <v>29</v>
      </c>
      <c r="B33" s="3" t="s">
        <v>227</v>
      </c>
      <c r="C33" s="7" t="s">
        <v>1143</v>
      </c>
      <c r="D33" s="9">
        <v>1</v>
      </c>
      <c r="E33" s="9" t="s">
        <v>12</v>
      </c>
      <c r="F33" s="130">
        <v>35948</v>
      </c>
      <c r="G33" s="131">
        <f t="shared" ref="G33:G83" si="1">D33*F33</f>
        <v>35948</v>
      </c>
      <c r="H33" s="3" t="s">
        <v>835</v>
      </c>
      <c r="I33" s="7" t="s">
        <v>261</v>
      </c>
      <c r="J33" s="132" t="s">
        <v>979</v>
      </c>
      <c r="K33" s="3" t="s">
        <v>71</v>
      </c>
      <c r="L33" s="3"/>
    </row>
    <row r="34" spans="1:12" ht="45" x14ac:dyDescent="0.25">
      <c r="A34" s="100">
        <v>30</v>
      </c>
      <c r="B34" s="3" t="s">
        <v>217</v>
      </c>
      <c r="C34" s="7" t="s">
        <v>1143</v>
      </c>
      <c r="D34" s="9">
        <v>1</v>
      </c>
      <c r="E34" s="9" t="s">
        <v>12</v>
      </c>
      <c r="F34" s="130">
        <v>5500</v>
      </c>
      <c r="G34" s="131">
        <f t="shared" si="1"/>
        <v>5500</v>
      </c>
      <c r="H34" s="3" t="s">
        <v>835</v>
      </c>
      <c r="I34" s="7" t="s">
        <v>261</v>
      </c>
      <c r="J34" s="132" t="s">
        <v>979</v>
      </c>
      <c r="K34" s="3" t="s">
        <v>71</v>
      </c>
      <c r="L34" s="3" t="s">
        <v>220</v>
      </c>
    </row>
    <row r="35" spans="1:12" ht="45" x14ac:dyDescent="0.25">
      <c r="A35" s="100">
        <v>31</v>
      </c>
      <c r="B35" s="3" t="s">
        <v>218</v>
      </c>
      <c r="C35" s="7" t="s">
        <v>1143</v>
      </c>
      <c r="D35" s="9">
        <v>1</v>
      </c>
      <c r="E35" s="9" t="s">
        <v>12</v>
      </c>
      <c r="F35" s="130">
        <v>3500</v>
      </c>
      <c r="G35" s="131">
        <f t="shared" si="1"/>
        <v>3500</v>
      </c>
      <c r="H35" s="3" t="s">
        <v>835</v>
      </c>
      <c r="I35" s="7" t="s">
        <v>261</v>
      </c>
      <c r="J35" s="132" t="s">
        <v>979</v>
      </c>
      <c r="K35" s="3" t="s">
        <v>71</v>
      </c>
      <c r="L35" s="3" t="s">
        <v>220</v>
      </c>
    </row>
    <row r="36" spans="1:12" ht="33.75" x14ac:dyDescent="0.25">
      <c r="A36" s="100">
        <v>32</v>
      </c>
      <c r="B36" s="3" t="s">
        <v>219</v>
      </c>
      <c r="C36" s="7" t="s">
        <v>1143</v>
      </c>
      <c r="D36" s="9">
        <v>1</v>
      </c>
      <c r="E36" s="9" t="s">
        <v>351</v>
      </c>
      <c r="F36" s="130">
        <v>5175</v>
      </c>
      <c r="G36" s="131">
        <f t="shared" si="1"/>
        <v>5175</v>
      </c>
      <c r="H36" s="3" t="s">
        <v>835</v>
      </c>
      <c r="I36" s="7" t="s">
        <v>261</v>
      </c>
      <c r="J36" s="132" t="s">
        <v>979</v>
      </c>
      <c r="K36" s="3" t="s">
        <v>71</v>
      </c>
      <c r="L36" s="3" t="s">
        <v>350</v>
      </c>
    </row>
    <row r="37" spans="1:12" ht="33.75" x14ac:dyDescent="0.25">
      <c r="A37" s="100">
        <v>33</v>
      </c>
      <c r="B37" s="3" t="s">
        <v>228</v>
      </c>
      <c r="C37" s="7" t="s">
        <v>1143</v>
      </c>
      <c r="D37" s="9">
        <v>1</v>
      </c>
      <c r="E37" s="9" t="s">
        <v>12</v>
      </c>
      <c r="F37" s="130">
        <f>4700+164</f>
        <v>4864</v>
      </c>
      <c r="G37" s="131">
        <f t="shared" si="1"/>
        <v>4864</v>
      </c>
      <c r="H37" s="3" t="s">
        <v>835</v>
      </c>
      <c r="I37" s="7" t="s">
        <v>261</v>
      </c>
      <c r="J37" s="132" t="s">
        <v>979</v>
      </c>
      <c r="K37" s="3" t="s">
        <v>71</v>
      </c>
      <c r="L37" s="3" t="s">
        <v>229</v>
      </c>
    </row>
    <row r="38" spans="1:12" ht="33.75" x14ac:dyDescent="0.25">
      <c r="A38" s="100">
        <v>34</v>
      </c>
      <c r="B38" s="3" t="s">
        <v>230</v>
      </c>
      <c r="C38" s="7" t="s">
        <v>1143</v>
      </c>
      <c r="D38" s="9">
        <v>1</v>
      </c>
      <c r="E38" s="9" t="s">
        <v>12</v>
      </c>
      <c r="F38" s="130">
        <f>1050+37</f>
        <v>1087</v>
      </c>
      <c r="G38" s="131">
        <f t="shared" si="1"/>
        <v>1087</v>
      </c>
      <c r="H38" s="3" t="s">
        <v>835</v>
      </c>
      <c r="I38" s="7" t="s">
        <v>261</v>
      </c>
      <c r="J38" s="132" t="s">
        <v>979</v>
      </c>
      <c r="K38" s="3" t="s">
        <v>71</v>
      </c>
      <c r="L38" s="3" t="s">
        <v>253</v>
      </c>
    </row>
    <row r="39" spans="1:12" ht="33.75" x14ac:dyDescent="0.25">
      <c r="A39" s="100">
        <v>35</v>
      </c>
      <c r="B39" s="3" t="s">
        <v>231</v>
      </c>
      <c r="C39" s="7" t="s">
        <v>1143</v>
      </c>
      <c r="D39" s="9">
        <v>1</v>
      </c>
      <c r="E39" s="9" t="s">
        <v>12</v>
      </c>
      <c r="F39" s="130">
        <v>1087</v>
      </c>
      <c r="G39" s="131">
        <f t="shared" si="1"/>
        <v>1087</v>
      </c>
      <c r="H39" s="3" t="s">
        <v>835</v>
      </c>
      <c r="I39" s="7" t="s">
        <v>261</v>
      </c>
      <c r="J39" s="132" t="s">
        <v>979</v>
      </c>
      <c r="K39" s="3" t="s">
        <v>71</v>
      </c>
      <c r="L39" s="3" t="s">
        <v>335</v>
      </c>
    </row>
    <row r="40" spans="1:12" ht="33.75" x14ac:dyDescent="0.25">
      <c r="A40" s="100">
        <v>36</v>
      </c>
      <c r="B40" s="3" t="s">
        <v>232</v>
      </c>
      <c r="C40" s="7" t="s">
        <v>1143</v>
      </c>
      <c r="D40" s="9">
        <v>1</v>
      </c>
      <c r="E40" s="9" t="s">
        <v>12</v>
      </c>
      <c r="F40" s="130">
        <f>1450+51</f>
        <v>1501</v>
      </c>
      <c r="G40" s="131">
        <f t="shared" si="1"/>
        <v>1501</v>
      </c>
      <c r="H40" s="3" t="s">
        <v>835</v>
      </c>
      <c r="I40" s="7" t="s">
        <v>261</v>
      </c>
      <c r="J40" s="132" t="s">
        <v>979</v>
      </c>
      <c r="K40" s="3" t="s">
        <v>71</v>
      </c>
      <c r="L40" s="3" t="s">
        <v>336</v>
      </c>
    </row>
    <row r="41" spans="1:12" ht="33.75" x14ac:dyDescent="0.25">
      <c r="A41" s="100">
        <v>37</v>
      </c>
      <c r="B41" s="3" t="s">
        <v>233</v>
      </c>
      <c r="C41" s="7" t="s">
        <v>1143</v>
      </c>
      <c r="D41" s="9">
        <v>1</v>
      </c>
      <c r="E41" s="9"/>
      <c r="F41" s="130">
        <f>2900+102</f>
        <v>3002</v>
      </c>
      <c r="G41" s="131">
        <f t="shared" si="1"/>
        <v>3002</v>
      </c>
      <c r="H41" s="3" t="s">
        <v>835</v>
      </c>
      <c r="I41" s="7" t="s">
        <v>261</v>
      </c>
      <c r="J41" s="132" t="s">
        <v>979</v>
      </c>
      <c r="K41" s="3" t="s">
        <v>71</v>
      </c>
      <c r="L41" s="3" t="s">
        <v>337</v>
      </c>
    </row>
    <row r="42" spans="1:12" ht="33.75" x14ac:dyDescent="0.25">
      <c r="A42" s="100">
        <v>38</v>
      </c>
      <c r="B42" s="3" t="s">
        <v>234</v>
      </c>
      <c r="C42" s="7" t="s">
        <v>1143</v>
      </c>
      <c r="D42" s="9">
        <v>1</v>
      </c>
      <c r="E42" s="9" t="s">
        <v>12</v>
      </c>
      <c r="F42" s="130">
        <v>2390</v>
      </c>
      <c r="G42" s="131">
        <f t="shared" si="1"/>
        <v>2390</v>
      </c>
      <c r="H42" s="3" t="s">
        <v>835</v>
      </c>
      <c r="I42" s="7" t="s">
        <v>261</v>
      </c>
      <c r="J42" s="132" t="s">
        <v>979</v>
      </c>
      <c r="K42" s="3" t="s">
        <v>71</v>
      </c>
      <c r="L42" s="3"/>
    </row>
    <row r="43" spans="1:12" ht="33.75" x14ac:dyDescent="0.25">
      <c r="A43" s="100">
        <v>39</v>
      </c>
      <c r="B43" s="134" t="s">
        <v>235</v>
      </c>
      <c r="C43" s="7" t="s">
        <v>1143</v>
      </c>
      <c r="D43" s="9">
        <v>1</v>
      </c>
      <c r="E43" s="9" t="s">
        <v>12</v>
      </c>
      <c r="F43" s="130">
        <f>3800+133</f>
        <v>3933</v>
      </c>
      <c r="G43" s="131">
        <f t="shared" si="1"/>
        <v>3933</v>
      </c>
      <c r="H43" s="3" t="s">
        <v>835</v>
      </c>
      <c r="I43" s="7" t="s">
        <v>261</v>
      </c>
      <c r="J43" s="132" t="s">
        <v>979</v>
      </c>
      <c r="K43" s="3" t="s">
        <v>71</v>
      </c>
      <c r="L43" s="3" t="s">
        <v>338</v>
      </c>
    </row>
    <row r="44" spans="1:12" ht="33.75" x14ac:dyDescent="0.25">
      <c r="A44" s="100">
        <v>40</v>
      </c>
      <c r="B44" s="3" t="s">
        <v>236</v>
      </c>
      <c r="C44" s="7" t="s">
        <v>1143</v>
      </c>
      <c r="D44" s="9">
        <v>1</v>
      </c>
      <c r="E44" s="9" t="s">
        <v>12</v>
      </c>
      <c r="F44" s="130">
        <v>518</v>
      </c>
      <c r="G44" s="131">
        <f t="shared" si="1"/>
        <v>518</v>
      </c>
      <c r="H44" s="3" t="s">
        <v>835</v>
      </c>
      <c r="I44" s="7" t="s">
        <v>261</v>
      </c>
      <c r="J44" s="132" t="s">
        <v>979</v>
      </c>
      <c r="K44" s="3" t="s">
        <v>71</v>
      </c>
      <c r="L44" s="3" t="s">
        <v>254</v>
      </c>
    </row>
    <row r="45" spans="1:12" ht="33.75" x14ac:dyDescent="0.25">
      <c r="A45" s="100">
        <v>41</v>
      </c>
      <c r="B45" s="3" t="s">
        <v>237</v>
      </c>
      <c r="C45" s="7" t="s">
        <v>1143</v>
      </c>
      <c r="D45" s="9">
        <v>1</v>
      </c>
      <c r="E45" s="9" t="s">
        <v>12</v>
      </c>
      <c r="F45" s="130">
        <f>2900+102</f>
        <v>3002</v>
      </c>
      <c r="G45" s="131">
        <f t="shared" si="1"/>
        <v>3002</v>
      </c>
      <c r="H45" s="3" t="s">
        <v>835</v>
      </c>
      <c r="I45" s="7" t="s">
        <v>261</v>
      </c>
      <c r="J45" s="132" t="s">
        <v>979</v>
      </c>
      <c r="K45" s="3" t="s">
        <v>71</v>
      </c>
      <c r="L45" s="3" t="s">
        <v>339</v>
      </c>
    </row>
    <row r="46" spans="1:12" ht="33.75" x14ac:dyDescent="0.25">
      <c r="A46" s="100">
        <v>42</v>
      </c>
      <c r="B46" s="3" t="s">
        <v>238</v>
      </c>
      <c r="C46" s="7" t="s">
        <v>1143</v>
      </c>
      <c r="D46" s="9">
        <v>1</v>
      </c>
      <c r="E46" s="9" t="s">
        <v>12</v>
      </c>
      <c r="F46" s="130">
        <f>700+25</f>
        <v>725</v>
      </c>
      <c r="G46" s="131">
        <f t="shared" si="1"/>
        <v>725</v>
      </c>
      <c r="H46" s="3" t="s">
        <v>835</v>
      </c>
      <c r="I46" s="7" t="s">
        <v>261</v>
      </c>
      <c r="J46" s="132" t="s">
        <v>979</v>
      </c>
      <c r="K46" s="3" t="s">
        <v>71</v>
      </c>
      <c r="L46" s="3" t="s">
        <v>340</v>
      </c>
    </row>
    <row r="47" spans="1:12" ht="33.75" x14ac:dyDescent="0.25">
      <c r="A47" s="100">
        <v>43</v>
      </c>
      <c r="B47" s="3" t="s">
        <v>239</v>
      </c>
      <c r="C47" s="7" t="s">
        <v>1143</v>
      </c>
      <c r="D47" s="9">
        <v>1</v>
      </c>
      <c r="E47" s="9" t="s">
        <v>12</v>
      </c>
      <c r="F47" s="130">
        <v>725</v>
      </c>
      <c r="G47" s="131">
        <f t="shared" si="1"/>
        <v>725</v>
      </c>
      <c r="H47" s="3" t="s">
        <v>835</v>
      </c>
      <c r="I47" s="7" t="s">
        <v>261</v>
      </c>
      <c r="J47" s="132" t="s">
        <v>979</v>
      </c>
      <c r="K47" s="3" t="s">
        <v>71</v>
      </c>
      <c r="L47" s="3" t="s">
        <v>255</v>
      </c>
    </row>
    <row r="48" spans="1:12" ht="33.75" x14ac:dyDescent="0.25">
      <c r="A48" s="100">
        <v>44</v>
      </c>
      <c r="B48" s="3" t="s">
        <v>241</v>
      </c>
      <c r="C48" s="7" t="s">
        <v>1143</v>
      </c>
      <c r="D48" s="9">
        <v>1</v>
      </c>
      <c r="E48" s="9" t="s">
        <v>12</v>
      </c>
      <c r="F48" s="130">
        <f>1400+49</f>
        <v>1449</v>
      </c>
      <c r="G48" s="131">
        <f t="shared" si="1"/>
        <v>1449</v>
      </c>
      <c r="H48" s="3" t="s">
        <v>835</v>
      </c>
      <c r="I48" s="7" t="s">
        <v>261</v>
      </c>
      <c r="J48" s="132" t="s">
        <v>979</v>
      </c>
      <c r="K48" s="3" t="s">
        <v>71</v>
      </c>
      <c r="L48" s="3" t="s">
        <v>341</v>
      </c>
    </row>
    <row r="49" spans="1:12" ht="33.75" x14ac:dyDescent="0.25">
      <c r="A49" s="100">
        <v>45</v>
      </c>
      <c r="B49" s="13" t="s">
        <v>240</v>
      </c>
      <c r="C49" s="7" t="s">
        <v>1143</v>
      </c>
      <c r="D49" s="9">
        <v>1</v>
      </c>
      <c r="E49" s="100"/>
      <c r="F49" s="130">
        <f>1100+39</f>
        <v>1139</v>
      </c>
      <c r="G49" s="131">
        <f t="shared" si="1"/>
        <v>1139</v>
      </c>
      <c r="H49" s="3" t="s">
        <v>835</v>
      </c>
      <c r="I49" s="7" t="s">
        <v>261</v>
      </c>
      <c r="J49" s="132" t="s">
        <v>979</v>
      </c>
      <c r="K49" s="3" t="s">
        <v>71</v>
      </c>
      <c r="L49" s="3" t="s">
        <v>342</v>
      </c>
    </row>
    <row r="50" spans="1:12" ht="33.75" x14ac:dyDescent="0.25">
      <c r="A50" s="100">
        <v>46</v>
      </c>
      <c r="B50" s="13" t="s">
        <v>242</v>
      </c>
      <c r="C50" s="7" t="s">
        <v>1143</v>
      </c>
      <c r="D50" s="9">
        <v>1</v>
      </c>
      <c r="E50" s="9" t="s">
        <v>12</v>
      </c>
      <c r="F50" s="130">
        <f>6400+224</f>
        <v>6624</v>
      </c>
      <c r="G50" s="131">
        <f t="shared" si="1"/>
        <v>6624</v>
      </c>
      <c r="H50" s="3" t="s">
        <v>835</v>
      </c>
      <c r="I50" s="7" t="s">
        <v>261</v>
      </c>
      <c r="J50" s="132" t="s">
        <v>979</v>
      </c>
      <c r="K50" s="3" t="s">
        <v>71</v>
      </c>
      <c r="L50" s="3" t="s">
        <v>343</v>
      </c>
    </row>
    <row r="51" spans="1:12" ht="33.75" x14ac:dyDescent="0.25">
      <c r="A51" s="100">
        <v>47</v>
      </c>
      <c r="B51" s="13" t="s">
        <v>243</v>
      </c>
      <c r="C51" s="7" t="s">
        <v>1143</v>
      </c>
      <c r="D51" s="9">
        <v>1</v>
      </c>
      <c r="E51" s="9" t="s">
        <v>12</v>
      </c>
      <c r="F51" s="130">
        <f>47000+1645</f>
        <v>48645</v>
      </c>
      <c r="G51" s="131">
        <f t="shared" si="1"/>
        <v>48645</v>
      </c>
      <c r="H51" s="3" t="s">
        <v>835</v>
      </c>
      <c r="I51" s="7" t="s">
        <v>261</v>
      </c>
      <c r="J51" s="132" t="s">
        <v>979</v>
      </c>
      <c r="K51" s="3" t="s">
        <v>71</v>
      </c>
      <c r="L51" s="3" t="s">
        <v>344</v>
      </c>
    </row>
    <row r="52" spans="1:12" ht="33.75" x14ac:dyDescent="0.25">
      <c r="A52" s="100">
        <v>48</v>
      </c>
      <c r="B52" s="13" t="s">
        <v>244</v>
      </c>
      <c r="C52" s="7" t="s">
        <v>1143</v>
      </c>
      <c r="D52" s="9">
        <v>1</v>
      </c>
      <c r="E52" s="9" t="s">
        <v>12</v>
      </c>
      <c r="F52" s="130">
        <f>21600+756</f>
        <v>22356</v>
      </c>
      <c r="G52" s="131">
        <f t="shared" si="1"/>
        <v>22356</v>
      </c>
      <c r="H52" s="3" t="s">
        <v>835</v>
      </c>
      <c r="I52" s="7" t="s">
        <v>261</v>
      </c>
      <c r="J52" s="132" t="s">
        <v>979</v>
      </c>
      <c r="K52" s="3" t="s">
        <v>71</v>
      </c>
      <c r="L52" s="3" t="s">
        <v>345</v>
      </c>
    </row>
    <row r="53" spans="1:12" ht="33.75" x14ac:dyDescent="0.25">
      <c r="A53" s="100">
        <v>49</v>
      </c>
      <c r="B53" s="13" t="s">
        <v>245</v>
      </c>
      <c r="C53" s="7" t="s">
        <v>1143</v>
      </c>
      <c r="D53" s="9">
        <v>1</v>
      </c>
      <c r="E53" s="9" t="s">
        <v>12</v>
      </c>
      <c r="F53" s="130">
        <f>2700+95</f>
        <v>2795</v>
      </c>
      <c r="G53" s="131">
        <f t="shared" si="1"/>
        <v>2795</v>
      </c>
      <c r="H53" s="3" t="s">
        <v>835</v>
      </c>
      <c r="I53" s="7" t="s">
        <v>261</v>
      </c>
      <c r="J53" s="132" t="s">
        <v>979</v>
      </c>
      <c r="K53" s="3" t="s">
        <v>71</v>
      </c>
      <c r="L53" s="3" t="s">
        <v>256</v>
      </c>
    </row>
    <row r="54" spans="1:12" ht="33.75" x14ac:dyDescent="0.25">
      <c r="A54" s="100">
        <v>50</v>
      </c>
      <c r="B54" s="13" t="s">
        <v>245</v>
      </c>
      <c r="C54" s="7" t="s">
        <v>1143</v>
      </c>
      <c r="D54" s="9">
        <v>1</v>
      </c>
      <c r="E54" s="9" t="s">
        <v>12</v>
      </c>
      <c r="F54" s="130">
        <f>2500+88</f>
        <v>2588</v>
      </c>
      <c r="G54" s="131">
        <f t="shared" si="1"/>
        <v>2588</v>
      </c>
      <c r="H54" s="3" t="s">
        <v>835</v>
      </c>
      <c r="I54" s="7" t="s">
        <v>261</v>
      </c>
      <c r="J54" s="132" t="s">
        <v>979</v>
      </c>
      <c r="K54" s="3" t="s">
        <v>71</v>
      </c>
      <c r="L54" s="3" t="s">
        <v>257</v>
      </c>
    </row>
    <row r="55" spans="1:12" ht="33.75" x14ac:dyDescent="0.25">
      <c r="A55" s="100">
        <v>51</v>
      </c>
      <c r="B55" s="13" t="s">
        <v>246</v>
      </c>
      <c r="C55" s="7" t="s">
        <v>1143</v>
      </c>
      <c r="D55" s="9">
        <v>1</v>
      </c>
      <c r="E55" s="9" t="s">
        <v>12</v>
      </c>
      <c r="F55" s="130">
        <f>1200+42</f>
        <v>1242</v>
      </c>
      <c r="G55" s="131">
        <f t="shared" si="1"/>
        <v>1242</v>
      </c>
      <c r="H55" s="3" t="s">
        <v>835</v>
      </c>
      <c r="I55" s="7" t="s">
        <v>261</v>
      </c>
      <c r="J55" s="132" t="s">
        <v>979</v>
      </c>
      <c r="K55" s="3" t="s">
        <v>71</v>
      </c>
      <c r="L55" s="3" t="s">
        <v>258</v>
      </c>
    </row>
    <row r="56" spans="1:12" ht="33.75" x14ac:dyDescent="0.25">
      <c r="A56" s="100">
        <v>52</v>
      </c>
      <c r="B56" s="13" t="s">
        <v>247</v>
      </c>
      <c r="C56" s="7" t="s">
        <v>1143</v>
      </c>
      <c r="D56" s="9">
        <v>1</v>
      </c>
      <c r="E56" s="9" t="s">
        <v>12</v>
      </c>
      <c r="F56" s="130">
        <f>1150+40</f>
        <v>1190</v>
      </c>
      <c r="G56" s="131">
        <f t="shared" si="1"/>
        <v>1190</v>
      </c>
      <c r="H56" s="3" t="s">
        <v>835</v>
      </c>
      <c r="I56" s="7" t="s">
        <v>261</v>
      </c>
      <c r="J56" s="132" t="s">
        <v>979</v>
      </c>
      <c r="K56" s="3" t="s">
        <v>71</v>
      </c>
      <c r="L56" s="3" t="s">
        <v>346</v>
      </c>
    </row>
    <row r="57" spans="1:12" ht="33.75" x14ac:dyDescent="0.25">
      <c r="A57" s="100">
        <v>53</v>
      </c>
      <c r="B57" s="13" t="s">
        <v>248</v>
      </c>
      <c r="C57" s="7" t="s">
        <v>1143</v>
      </c>
      <c r="D57" s="9">
        <v>1</v>
      </c>
      <c r="E57" s="9" t="s">
        <v>12</v>
      </c>
      <c r="F57" s="130">
        <f>12950+453</f>
        <v>13403</v>
      </c>
      <c r="G57" s="131">
        <f t="shared" si="1"/>
        <v>13403</v>
      </c>
      <c r="H57" s="3" t="s">
        <v>835</v>
      </c>
      <c r="I57" s="7" t="s">
        <v>261</v>
      </c>
      <c r="J57" s="132" t="s">
        <v>979</v>
      </c>
      <c r="K57" s="3" t="s">
        <v>71</v>
      </c>
      <c r="L57" s="3" t="s">
        <v>347</v>
      </c>
    </row>
    <row r="58" spans="1:12" ht="33.75" x14ac:dyDescent="0.25">
      <c r="A58" s="100">
        <v>54</v>
      </c>
      <c r="B58" s="13" t="s">
        <v>249</v>
      </c>
      <c r="C58" s="7" t="s">
        <v>1143</v>
      </c>
      <c r="D58" s="9">
        <v>1</v>
      </c>
      <c r="E58" s="9" t="s">
        <v>12</v>
      </c>
      <c r="F58" s="130">
        <f>40000+1400</f>
        <v>41400</v>
      </c>
      <c r="G58" s="131">
        <f t="shared" si="1"/>
        <v>41400</v>
      </c>
      <c r="H58" s="3" t="s">
        <v>835</v>
      </c>
      <c r="I58" s="7" t="s">
        <v>261</v>
      </c>
      <c r="J58" s="132" t="s">
        <v>979</v>
      </c>
      <c r="K58" s="3" t="s">
        <v>71</v>
      </c>
      <c r="L58" s="3" t="s">
        <v>348</v>
      </c>
    </row>
    <row r="59" spans="1:12" ht="33.75" x14ac:dyDescent="0.25">
      <c r="A59" s="100">
        <v>55</v>
      </c>
      <c r="B59" s="13" t="s">
        <v>250</v>
      </c>
      <c r="C59" s="7" t="s">
        <v>1143</v>
      </c>
      <c r="D59" s="9">
        <v>1</v>
      </c>
      <c r="E59" s="9" t="s">
        <v>12</v>
      </c>
      <c r="F59" s="130">
        <f>2400+84</f>
        <v>2484</v>
      </c>
      <c r="G59" s="131">
        <f t="shared" si="1"/>
        <v>2484</v>
      </c>
      <c r="H59" s="3" t="s">
        <v>835</v>
      </c>
      <c r="I59" s="7" t="s">
        <v>261</v>
      </c>
      <c r="J59" s="132" t="s">
        <v>979</v>
      </c>
      <c r="K59" s="3" t="s">
        <v>71</v>
      </c>
      <c r="L59" s="3" t="s">
        <v>349</v>
      </c>
    </row>
    <row r="60" spans="1:12" ht="33.75" x14ac:dyDescent="0.25">
      <c r="A60" s="100">
        <v>56</v>
      </c>
      <c r="B60" s="13" t="s">
        <v>251</v>
      </c>
      <c r="C60" s="7" t="s">
        <v>1143</v>
      </c>
      <c r="D60" s="9">
        <v>1</v>
      </c>
      <c r="E60" s="9" t="s">
        <v>12</v>
      </c>
      <c r="F60" s="130">
        <f>70000+2450</f>
        <v>72450</v>
      </c>
      <c r="G60" s="131">
        <f t="shared" si="1"/>
        <v>72450</v>
      </c>
      <c r="H60" s="3" t="s">
        <v>835</v>
      </c>
      <c r="I60" s="7" t="s">
        <v>261</v>
      </c>
      <c r="J60" s="132" t="s">
        <v>979</v>
      </c>
      <c r="K60" s="3" t="s">
        <v>71</v>
      </c>
      <c r="L60" s="3" t="s">
        <v>259</v>
      </c>
    </row>
    <row r="61" spans="1:12" ht="33.75" x14ac:dyDescent="0.25">
      <c r="A61" s="100">
        <v>57</v>
      </c>
      <c r="B61" s="13" t="s">
        <v>252</v>
      </c>
      <c r="C61" s="7" t="s">
        <v>1143</v>
      </c>
      <c r="D61" s="9">
        <v>1</v>
      </c>
      <c r="E61" s="9" t="s">
        <v>215</v>
      </c>
      <c r="F61" s="130">
        <f>30000+1050</f>
        <v>31050</v>
      </c>
      <c r="G61" s="131">
        <f t="shared" si="1"/>
        <v>31050</v>
      </c>
      <c r="H61" s="3" t="s">
        <v>835</v>
      </c>
      <c r="I61" s="7" t="s">
        <v>261</v>
      </c>
      <c r="J61" s="132" t="s">
        <v>979</v>
      </c>
      <c r="K61" s="3" t="s">
        <v>71</v>
      </c>
      <c r="L61" s="3" t="s">
        <v>260</v>
      </c>
    </row>
    <row r="62" spans="1:12" ht="33.75" x14ac:dyDescent="0.25">
      <c r="A62" s="100">
        <v>58</v>
      </c>
      <c r="B62" s="13" t="s">
        <v>393</v>
      </c>
      <c r="C62" s="7" t="s">
        <v>1143</v>
      </c>
      <c r="D62" s="9">
        <v>1</v>
      </c>
      <c r="E62" s="9" t="s">
        <v>12</v>
      </c>
      <c r="F62" s="3">
        <v>65000</v>
      </c>
      <c r="G62" s="131">
        <f t="shared" si="1"/>
        <v>65000</v>
      </c>
      <c r="H62" s="3" t="s">
        <v>835</v>
      </c>
      <c r="I62" s="7" t="s">
        <v>261</v>
      </c>
      <c r="J62" s="132" t="s">
        <v>979</v>
      </c>
      <c r="K62" s="3" t="s">
        <v>71</v>
      </c>
      <c r="L62" s="3" t="s">
        <v>430</v>
      </c>
    </row>
    <row r="63" spans="1:12" ht="33.75" x14ac:dyDescent="0.25">
      <c r="A63" s="100">
        <v>59</v>
      </c>
      <c r="B63" s="13" t="s">
        <v>431</v>
      </c>
      <c r="C63" s="7" t="s">
        <v>1143</v>
      </c>
      <c r="D63" s="9">
        <v>1</v>
      </c>
      <c r="E63" s="9" t="s">
        <v>12</v>
      </c>
      <c r="F63" s="3">
        <v>35000</v>
      </c>
      <c r="G63" s="131">
        <f t="shared" si="1"/>
        <v>35000</v>
      </c>
      <c r="H63" s="3" t="s">
        <v>835</v>
      </c>
      <c r="I63" s="7" t="s">
        <v>261</v>
      </c>
      <c r="J63" s="132" t="s">
        <v>979</v>
      </c>
      <c r="K63" s="3" t="s">
        <v>71</v>
      </c>
      <c r="L63" s="3" t="s">
        <v>432</v>
      </c>
    </row>
    <row r="64" spans="1:12" ht="45" x14ac:dyDescent="0.25">
      <c r="A64" s="100">
        <v>60</v>
      </c>
      <c r="B64" s="13" t="s">
        <v>394</v>
      </c>
      <c r="C64" s="7" t="s">
        <v>1143</v>
      </c>
      <c r="D64" s="9">
        <v>1</v>
      </c>
      <c r="E64" s="9" t="s">
        <v>395</v>
      </c>
      <c r="F64" s="24">
        <v>2070000</v>
      </c>
      <c r="G64" s="131">
        <f t="shared" si="1"/>
        <v>2070000</v>
      </c>
      <c r="H64" s="3" t="s">
        <v>835</v>
      </c>
      <c r="I64" s="7" t="s">
        <v>261</v>
      </c>
      <c r="J64" s="132" t="s">
        <v>979</v>
      </c>
      <c r="K64" s="3" t="s">
        <v>71</v>
      </c>
      <c r="L64" s="3" t="s">
        <v>396</v>
      </c>
    </row>
    <row r="65" spans="1:12" ht="33.75" x14ac:dyDescent="0.25">
      <c r="A65" s="100">
        <v>61</v>
      </c>
      <c r="B65" s="13" t="s">
        <v>399</v>
      </c>
      <c r="C65" s="7" t="s">
        <v>1143</v>
      </c>
      <c r="D65" s="9">
        <v>1</v>
      </c>
      <c r="E65" s="9" t="s">
        <v>12</v>
      </c>
      <c r="F65" s="24">
        <v>10000</v>
      </c>
      <c r="G65" s="24">
        <f t="shared" si="1"/>
        <v>10000</v>
      </c>
      <c r="H65" s="3" t="s">
        <v>835</v>
      </c>
      <c r="I65" s="7" t="s">
        <v>261</v>
      </c>
      <c r="J65" s="132" t="s">
        <v>979</v>
      </c>
      <c r="K65" s="3" t="s">
        <v>71</v>
      </c>
      <c r="L65" s="3" t="s">
        <v>434</v>
      </c>
    </row>
    <row r="66" spans="1:12" ht="33.75" x14ac:dyDescent="0.25">
      <c r="A66" s="100">
        <v>62</v>
      </c>
      <c r="B66" s="13" t="s">
        <v>400</v>
      </c>
      <c r="C66" s="7" t="s">
        <v>1143</v>
      </c>
      <c r="D66" s="9">
        <v>1</v>
      </c>
      <c r="E66" s="9" t="s">
        <v>12</v>
      </c>
      <c r="F66" s="24">
        <v>2900</v>
      </c>
      <c r="G66" s="24">
        <f t="shared" si="1"/>
        <v>2900</v>
      </c>
      <c r="H66" s="3" t="s">
        <v>835</v>
      </c>
      <c r="I66" s="7" t="s">
        <v>261</v>
      </c>
      <c r="J66" s="132" t="s">
        <v>979</v>
      </c>
      <c r="K66" s="3" t="s">
        <v>71</v>
      </c>
      <c r="L66" s="3" t="s">
        <v>433</v>
      </c>
    </row>
    <row r="67" spans="1:12" ht="33.75" x14ac:dyDescent="0.25">
      <c r="A67" s="100">
        <v>63</v>
      </c>
      <c r="B67" s="13" t="s">
        <v>401</v>
      </c>
      <c r="C67" s="7" t="s">
        <v>1143</v>
      </c>
      <c r="D67" s="9">
        <v>1</v>
      </c>
      <c r="E67" s="9" t="s">
        <v>12</v>
      </c>
      <c r="F67" s="24">
        <v>500</v>
      </c>
      <c r="G67" s="24">
        <f t="shared" si="1"/>
        <v>500</v>
      </c>
      <c r="H67" s="3" t="s">
        <v>835</v>
      </c>
      <c r="I67" s="7" t="s">
        <v>261</v>
      </c>
      <c r="J67" s="132" t="s">
        <v>979</v>
      </c>
      <c r="K67" s="3" t="s">
        <v>71</v>
      </c>
      <c r="L67" s="3" t="s">
        <v>435</v>
      </c>
    </row>
    <row r="68" spans="1:12" ht="33.75" x14ac:dyDescent="0.25">
      <c r="A68" s="100">
        <v>64</v>
      </c>
      <c r="B68" s="13" t="s">
        <v>402</v>
      </c>
      <c r="C68" s="7" t="s">
        <v>1143</v>
      </c>
      <c r="D68" s="9">
        <v>1</v>
      </c>
      <c r="E68" s="9" t="s">
        <v>12</v>
      </c>
      <c r="F68" s="24">
        <v>150</v>
      </c>
      <c r="G68" s="24">
        <f t="shared" si="1"/>
        <v>150</v>
      </c>
      <c r="H68" s="3" t="s">
        <v>835</v>
      </c>
      <c r="I68" s="7" t="s">
        <v>261</v>
      </c>
      <c r="J68" s="132" t="s">
        <v>979</v>
      </c>
      <c r="K68" s="3" t="s">
        <v>71</v>
      </c>
      <c r="L68" s="3"/>
    </row>
    <row r="69" spans="1:12" ht="33.75" x14ac:dyDescent="0.25">
      <c r="A69" s="100">
        <v>65</v>
      </c>
      <c r="B69" s="13" t="s">
        <v>404</v>
      </c>
      <c r="C69" s="7" t="s">
        <v>1143</v>
      </c>
      <c r="D69" s="9">
        <v>1</v>
      </c>
      <c r="E69" s="9" t="s">
        <v>12</v>
      </c>
      <c r="F69" s="24">
        <v>165000</v>
      </c>
      <c r="G69" s="24">
        <f t="shared" si="1"/>
        <v>165000</v>
      </c>
      <c r="H69" s="3" t="s">
        <v>835</v>
      </c>
      <c r="I69" s="7" t="s">
        <v>261</v>
      </c>
      <c r="J69" s="132" t="s">
        <v>979</v>
      </c>
      <c r="K69" s="3" t="s">
        <v>71</v>
      </c>
      <c r="L69" s="3" t="s">
        <v>436</v>
      </c>
    </row>
    <row r="70" spans="1:12" ht="33.75" x14ac:dyDescent="0.25">
      <c r="A70" s="100">
        <v>66</v>
      </c>
      <c r="B70" s="13" t="s">
        <v>406</v>
      </c>
      <c r="C70" s="7" t="s">
        <v>1143</v>
      </c>
      <c r="D70" s="9">
        <v>1</v>
      </c>
      <c r="E70" s="9" t="s">
        <v>12</v>
      </c>
      <c r="F70" s="24">
        <v>25000</v>
      </c>
      <c r="G70" s="24">
        <f t="shared" si="1"/>
        <v>25000</v>
      </c>
      <c r="H70" s="3" t="s">
        <v>835</v>
      </c>
      <c r="I70" s="7" t="s">
        <v>261</v>
      </c>
      <c r="J70" s="132" t="s">
        <v>979</v>
      </c>
      <c r="K70" s="3" t="s">
        <v>71</v>
      </c>
      <c r="L70" s="3" t="s">
        <v>437</v>
      </c>
    </row>
    <row r="71" spans="1:12" ht="33.75" x14ac:dyDescent="0.25">
      <c r="A71" s="100">
        <v>67</v>
      </c>
      <c r="B71" s="13" t="s">
        <v>407</v>
      </c>
      <c r="C71" s="7" t="s">
        <v>1143</v>
      </c>
      <c r="D71" s="9">
        <v>1</v>
      </c>
      <c r="E71" s="9" t="s">
        <v>12</v>
      </c>
      <c r="F71" s="24">
        <v>890000</v>
      </c>
      <c r="G71" s="24">
        <f t="shared" si="1"/>
        <v>890000</v>
      </c>
      <c r="H71" s="3" t="s">
        <v>835</v>
      </c>
      <c r="I71" s="7" t="s">
        <v>261</v>
      </c>
      <c r="J71" s="132" t="s">
        <v>979</v>
      </c>
      <c r="K71" s="3" t="s">
        <v>71</v>
      </c>
      <c r="L71" s="3" t="s">
        <v>438</v>
      </c>
    </row>
    <row r="72" spans="1:12" ht="33.75" x14ac:dyDescent="0.25">
      <c r="A72" s="100">
        <v>68</v>
      </c>
      <c r="B72" s="135" t="s">
        <v>408</v>
      </c>
      <c r="C72" s="7" t="s">
        <v>1143</v>
      </c>
      <c r="D72" s="9">
        <v>1</v>
      </c>
      <c r="E72" s="9" t="s">
        <v>12</v>
      </c>
      <c r="F72" s="24">
        <v>25000</v>
      </c>
      <c r="G72" s="24">
        <f t="shared" si="1"/>
        <v>25000</v>
      </c>
      <c r="H72" s="3" t="s">
        <v>835</v>
      </c>
      <c r="I72" s="7" t="s">
        <v>261</v>
      </c>
      <c r="J72" s="132" t="s">
        <v>979</v>
      </c>
      <c r="K72" s="3" t="s">
        <v>71</v>
      </c>
      <c r="L72" s="3"/>
    </row>
    <row r="73" spans="1:12" ht="33.75" x14ac:dyDescent="0.25">
      <c r="A73" s="100">
        <v>69</v>
      </c>
      <c r="B73" s="135" t="s">
        <v>409</v>
      </c>
      <c r="C73" s="7" t="s">
        <v>1143</v>
      </c>
      <c r="D73" s="9">
        <v>1</v>
      </c>
      <c r="E73" s="9" t="s">
        <v>12</v>
      </c>
      <c r="F73" s="24">
        <v>3000</v>
      </c>
      <c r="G73" s="24">
        <f t="shared" si="1"/>
        <v>3000</v>
      </c>
      <c r="H73" s="3" t="s">
        <v>835</v>
      </c>
      <c r="I73" s="7" t="s">
        <v>261</v>
      </c>
      <c r="J73" s="132" t="s">
        <v>979</v>
      </c>
      <c r="K73" s="3" t="s">
        <v>71</v>
      </c>
      <c r="L73" s="3" t="s">
        <v>410</v>
      </c>
    </row>
    <row r="74" spans="1:12" ht="33.75" x14ac:dyDescent="0.25">
      <c r="A74" s="100">
        <v>70</v>
      </c>
      <c r="B74" s="135" t="s">
        <v>411</v>
      </c>
      <c r="C74" s="7" t="s">
        <v>1143</v>
      </c>
      <c r="D74" s="9">
        <v>1</v>
      </c>
      <c r="E74" s="9" t="s">
        <v>12</v>
      </c>
      <c r="F74" s="24">
        <v>805000</v>
      </c>
      <c r="G74" s="24">
        <f t="shared" si="1"/>
        <v>805000</v>
      </c>
      <c r="H74" s="3" t="s">
        <v>835</v>
      </c>
      <c r="I74" s="7" t="s">
        <v>261</v>
      </c>
      <c r="J74" s="132" t="s">
        <v>979</v>
      </c>
      <c r="K74" s="3" t="s">
        <v>71</v>
      </c>
      <c r="L74" s="3" t="s">
        <v>73</v>
      </c>
    </row>
    <row r="75" spans="1:12" ht="33.75" x14ac:dyDescent="0.25">
      <c r="A75" s="100">
        <v>71</v>
      </c>
      <c r="B75" s="135" t="s">
        <v>412</v>
      </c>
      <c r="C75" s="7" t="s">
        <v>1143</v>
      </c>
      <c r="D75" s="9">
        <v>1</v>
      </c>
      <c r="E75" s="9" t="s">
        <v>12</v>
      </c>
      <c r="F75" s="24">
        <v>360000</v>
      </c>
      <c r="G75" s="24">
        <f t="shared" si="1"/>
        <v>360000</v>
      </c>
      <c r="H75" s="3" t="s">
        <v>835</v>
      </c>
      <c r="I75" s="7" t="s">
        <v>261</v>
      </c>
      <c r="J75" s="132" t="s">
        <v>979</v>
      </c>
      <c r="K75" s="3" t="s">
        <v>71</v>
      </c>
      <c r="L75" s="3" t="s">
        <v>439</v>
      </c>
    </row>
    <row r="76" spans="1:12" ht="33.75" x14ac:dyDescent="0.25">
      <c r="A76" s="100">
        <v>72</v>
      </c>
      <c r="B76" s="135" t="s">
        <v>413</v>
      </c>
      <c r="C76" s="7" t="s">
        <v>1143</v>
      </c>
      <c r="D76" s="9">
        <v>1</v>
      </c>
      <c r="E76" s="9" t="s">
        <v>12</v>
      </c>
      <c r="F76" s="24">
        <v>60000</v>
      </c>
      <c r="G76" s="24">
        <f t="shared" si="1"/>
        <v>60000</v>
      </c>
      <c r="H76" s="3" t="s">
        <v>835</v>
      </c>
      <c r="I76" s="7" t="s">
        <v>261</v>
      </c>
      <c r="J76" s="132" t="s">
        <v>979</v>
      </c>
      <c r="K76" s="3" t="s">
        <v>71</v>
      </c>
      <c r="L76" s="3"/>
    </row>
    <row r="77" spans="1:12" ht="33.75" x14ac:dyDescent="0.25">
      <c r="A77" s="100">
        <v>73</v>
      </c>
      <c r="B77" s="135" t="s">
        <v>414</v>
      </c>
      <c r="C77" s="7" t="s">
        <v>1143</v>
      </c>
      <c r="D77" s="9">
        <v>1</v>
      </c>
      <c r="E77" s="22" t="s">
        <v>12</v>
      </c>
      <c r="F77" s="99">
        <v>103000</v>
      </c>
      <c r="G77" s="99">
        <f t="shared" si="1"/>
        <v>103000</v>
      </c>
      <c r="H77" s="3" t="s">
        <v>835</v>
      </c>
      <c r="I77" s="7" t="s">
        <v>261</v>
      </c>
      <c r="J77" s="136" t="s">
        <v>979</v>
      </c>
      <c r="K77" s="10" t="s">
        <v>71</v>
      </c>
      <c r="L77" s="10" t="s">
        <v>440</v>
      </c>
    </row>
    <row r="78" spans="1:12" ht="33.75" x14ac:dyDescent="0.25">
      <c r="A78" s="83">
        <v>74</v>
      </c>
      <c r="B78" s="137" t="s">
        <v>442</v>
      </c>
      <c r="C78" s="7" t="s">
        <v>1143</v>
      </c>
      <c r="D78" s="9">
        <v>1</v>
      </c>
      <c r="E78" s="9" t="s">
        <v>12</v>
      </c>
      <c r="F78" s="40">
        <v>3500</v>
      </c>
      <c r="G78" s="99">
        <f t="shared" si="1"/>
        <v>3500</v>
      </c>
      <c r="H78" s="3" t="s">
        <v>835</v>
      </c>
      <c r="I78" s="7" t="s">
        <v>261</v>
      </c>
      <c r="J78" s="138" t="s">
        <v>979</v>
      </c>
      <c r="K78" s="10" t="s">
        <v>71</v>
      </c>
      <c r="L78" s="40"/>
    </row>
    <row r="79" spans="1:12" ht="33.75" x14ac:dyDescent="0.25">
      <c r="A79" s="83">
        <v>75</v>
      </c>
      <c r="B79" s="137" t="s">
        <v>443</v>
      </c>
      <c r="C79" s="7" t="s">
        <v>1143</v>
      </c>
      <c r="D79" s="9">
        <v>1</v>
      </c>
      <c r="E79" s="9" t="s">
        <v>12</v>
      </c>
      <c r="F79" s="40">
        <v>3000</v>
      </c>
      <c r="G79" s="99">
        <f t="shared" si="1"/>
        <v>3000</v>
      </c>
      <c r="H79" s="3" t="s">
        <v>835</v>
      </c>
      <c r="I79" s="7" t="s">
        <v>261</v>
      </c>
      <c r="J79" s="138" t="s">
        <v>979</v>
      </c>
      <c r="K79" s="10" t="s">
        <v>71</v>
      </c>
      <c r="L79" s="40"/>
    </row>
    <row r="80" spans="1:12" ht="33.75" x14ac:dyDescent="0.25">
      <c r="A80" s="83">
        <v>76</v>
      </c>
      <c r="B80" s="137" t="s">
        <v>444</v>
      </c>
      <c r="C80" s="7" t="s">
        <v>1143</v>
      </c>
      <c r="D80" s="9">
        <v>1</v>
      </c>
      <c r="E80" s="9" t="s">
        <v>12</v>
      </c>
      <c r="F80" s="40">
        <v>7000</v>
      </c>
      <c r="G80" s="99">
        <f t="shared" si="1"/>
        <v>7000</v>
      </c>
      <c r="H80" s="3" t="s">
        <v>835</v>
      </c>
      <c r="I80" s="7" t="s">
        <v>261</v>
      </c>
      <c r="J80" s="138" t="s">
        <v>979</v>
      </c>
      <c r="K80" s="10" t="s">
        <v>71</v>
      </c>
      <c r="L80" s="40"/>
    </row>
    <row r="81" spans="1:12" ht="33.75" x14ac:dyDescent="0.25">
      <c r="A81" s="83">
        <v>77</v>
      </c>
      <c r="B81" s="137" t="s">
        <v>449</v>
      </c>
      <c r="C81" s="7" t="s">
        <v>1143</v>
      </c>
      <c r="D81" s="9">
        <v>1</v>
      </c>
      <c r="E81" s="9" t="s">
        <v>12</v>
      </c>
      <c r="F81" s="40">
        <v>10000</v>
      </c>
      <c r="G81" s="99">
        <f t="shared" si="1"/>
        <v>10000</v>
      </c>
      <c r="H81" s="3" t="s">
        <v>835</v>
      </c>
      <c r="I81" s="7" t="s">
        <v>261</v>
      </c>
      <c r="J81" s="138" t="s">
        <v>979</v>
      </c>
      <c r="K81" s="10" t="s">
        <v>71</v>
      </c>
      <c r="L81" s="40"/>
    </row>
    <row r="82" spans="1:12" ht="33.75" x14ac:dyDescent="0.25">
      <c r="A82" s="83">
        <v>78</v>
      </c>
      <c r="B82" s="137" t="s">
        <v>450</v>
      </c>
      <c r="C82" s="7" t="s">
        <v>1143</v>
      </c>
      <c r="D82" s="9">
        <v>1</v>
      </c>
      <c r="E82" s="9" t="s">
        <v>12</v>
      </c>
      <c r="F82" s="40">
        <v>120000</v>
      </c>
      <c r="G82" s="99">
        <f t="shared" si="1"/>
        <v>120000</v>
      </c>
      <c r="H82" s="3" t="s">
        <v>835</v>
      </c>
      <c r="I82" s="7" t="s">
        <v>261</v>
      </c>
      <c r="J82" s="138" t="s">
        <v>979</v>
      </c>
      <c r="K82" s="10" t="s">
        <v>71</v>
      </c>
      <c r="L82" s="40"/>
    </row>
    <row r="83" spans="1:12" ht="33.75" x14ac:dyDescent="0.25">
      <c r="A83" s="83">
        <v>79</v>
      </c>
      <c r="B83" s="137" t="s">
        <v>451</v>
      </c>
      <c r="C83" s="7" t="s">
        <v>1143</v>
      </c>
      <c r="D83" s="9">
        <v>1</v>
      </c>
      <c r="E83" s="9" t="s">
        <v>12</v>
      </c>
      <c r="F83" s="40">
        <v>130000</v>
      </c>
      <c r="G83" s="24">
        <f t="shared" si="1"/>
        <v>130000</v>
      </c>
      <c r="H83" s="3" t="s">
        <v>835</v>
      </c>
      <c r="I83" s="7" t="s">
        <v>261</v>
      </c>
      <c r="J83" s="138" t="s">
        <v>979</v>
      </c>
      <c r="K83" s="3" t="s">
        <v>71</v>
      </c>
      <c r="L83" s="40"/>
    </row>
  </sheetData>
  <mergeCells count="3">
    <mergeCell ref="A2:L2"/>
    <mergeCell ref="A3:D3"/>
    <mergeCell ref="I3:L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IMPRESOS Y SUSCRIPCIONES</vt:lpstr>
      <vt:lpstr>EQUIPOS PROCE. DATOS</vt:lpstr>
      <vt:lpstr>MUEBLES Y ENSERES II</vt:lpstr>
      <vt:lpstr>EQUIPOS Y ACCESORIOS DE COMUN.</vt:lpstr>
      <vt:lpstr>EQUIPOS Y MAQUINAS DE OFICINA I</vt:lpstr>
      <vt:lpstr>SISTEMA DE SEGURIDAD II</vt:lpstr>
      <vt:lpstr>MATERIALES ELECTRICOS 11</vt:lpstr>
      <vt:lpstr>COMBUSTIBLE II</vt:lpstr>
      <vt:lpstr>PAPELERIA Y ELEMENOS DE OFIC.</vt:lpstr>
      <vt:lpstr>TITAS TONNER Y CARTUCHOS</vt:lpstr>
      <vt:lpstr>ELEMENTOS DE ASEO.</vt:lpstr>
      <vt:lpstr>DOTACIÓN ADTIVA</vt:lpstr>
      <vt:lpstr>HERRAMIENTAS Y ACCES.</vt:lpstr>
      <vt:lpstr>MANTENIMIENTO GENERAL</vt:lpstr>
      <vt:lpstr>REPUESTOS VARIOS II</vt:lpstr>
      <vt:lpstr>VEHICULOS II</vt:lpstr>
      <vt:lpstr>OTROS MANTENIMIENTOS II</vt:lpstr>
      <vt:lpstr>CONTRATO DE CELADURIA Y ASEO</vt:lpstr>
      <vt:lpstr>practicas acade. </vt:lpstr>
      <vt:lpstr>OTRAS TRANSFERENCIAS</vt:lpstr>
      <vt:lpstr>INVERSIÓN</vt:lpstr>
      <vt:lpstr>Hoja3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dc:creator>
  <cp:lastModifiedBy>Maria</cp:lastModifiedBy>
  <cp:lastPrinted>2016-09-01T15:41:30Z</cp:lastPrinted>
  <dcterms:created xsi:type="dcterms:W3CDTF">2016-04-30T13:25:37Z</dcterms:created>
  <dcterms:modified xsi:type="dcterms:W3CDTF">2017-01-31T14:27:34Z</dcterms:modified>
</cp:coreProperties>
</file>